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RIPSHIT INSYAALLAH DONE\"/>
    </mc:Choice>
  </mc:AlternateContent>
  <xr:revisionPtr revIDLastSave="0" documentId="13_ncr:1_{EC5C719D-C019-4D3F-8B93-37A79B3806C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ji Gula Total" sheetId="4" r:id="rId1"/>
    <sheet name="Uji Antioksidan" sheetId="1" r:id="rId2"/>
  </sheets>
  <calcPr calcId="181029"/>
</workbook>
</file>

<file path=xl/calcChain.xml><?xml version="1.0" encoding="utf-8"?>
<calcChain xmlns="http://schemas.openxmlformats.org/spreadsheetml/2006/main">
  <c r="D88" i="4" l="1"/>
  <c r="E88" i="4"/>
  <c r="C92" i="4" s="1"/>
  <c r="D87" i="4"/>
  <c r="E63" i="4"/>
  <c r="C63" i="4"/>
  <c r="E62" i="4"/>
  <c r="D61" i="4"/>
  <c r="Q33" i="4"/>
  <c r="Q34" i="4"/>
  <c r="Q35" i="4"/>
  <c r="Q36" i="4"/>
  <c r="Q37" i="4"/>
  <c r="Q38" i="4"/>
  <c r="Q39" i="4"/>
  <c r="Q40" i="4"/>
  <c r="Q32" i="4"/>
  <c r="P33" i="4"/>
  <c r="P34" i="4"/>
  <c r="P35" i="4"/>
  <c r="P36" i="4"/>
  <c r="P37" i="4"/>
  <c r="P38" i="4"/>
  <c r="P39" i="4"/>
  <c r="P40" i="4"/>
  <c r="P32" i="4"/>
  <c r="O33" i="4"/>
  <c r="O34" i="4"/>
  <c r="O35" i="4"/>
  <c r="O36" i="4"/>
  <c r="O37" i="4"/>
  <c r="O38" i="4"/>
  <c r="O39" i="4"/>
  <c r="O40" i="4"/>
  <c r="O32" i="4"/>
  <c r="N39" i="4"/>
  <c r="N40" i="4"/>
  <c r="N38" i="4"/>
  <c r="N37" i="4"/>
  <c r="N36" i="4"/>
  <c r="N35" i="4"/>
  <c r="N34" i="4"/>
  <c r="N33" i="4"/>
  <c r="N32" i="4"/>
  <c r="N20" i="4"/>
  <c r="P27" i="4"/>
  <c r="P26" i="4"/>
  <c r="P25" i="4"/>
  <c r="P24" i="4"/>
  <c r="P23" i="4"/>
  <c r="P22" i="4"/>
  <c r="P21" i="4"/>
  <c r="P20" i="4"/>
  <c r="O27" i="4"/>
  <c r="O26" i="4"/>
  <c r="O25" i="4"/>
  <c r="Q20" i="4"/>
  <c r="Q21" i="4"/>
  <c r="Q22" i="4"/>
  <c r="Q23" i="4"/>
  <c r="Q24" i="4"/>
  <c r="Q25" i="4"/>
  <c r="Q26" i="4"/>
  <c r="Q27" i="4"/>
  <c r="Q19" i="4"/>
  <c r="P19" i="4"/>
  <c r="O24" i="4"/>
  <c r="O23" i="4"/>
  <c r="O22" i="4"/>
  <c r="O21" i="4"/>
  <c r="O20" i="4"/>
  <c r="O19" i="4"/>
  <c r="N27" i="4"/>
  <c r="N26" i="4"/>
  <c r="N25" i="4"/>
  <c r="N24" i="4"/>
  <c r="N23" i="4"/>
  <c r="N22" i="4"/>
  <c r="N21" i="4"/>
  <c r="N19" i="4"/>
  <c r="C92" i="1"/>
  <c r="C80" i="4"/>
  <c r="C79" i="4"/>
  <c r="H78" i="4"/>
  <c r="G78" i="4"/>
  <c r="H77" i="4"/>
  <c r="G77" i="4"/>
  <c r="C76" i="4"/>
  <c r="C75" i="4"/>
  <c r="E51" i="4"/>
  <c r="D51" i="4"/>
  <c r="C51" i="4"/>
  <c r="E50" i="4"/>
  <c r="D50" i="4"/>
  <c r="C50" i="4"/>
  <c r="H49" i="4"/>
  <c r="G49" i="4"/>
  <c r="F49" i="4"/>
  <c r="H48" i="4"/>
  <c r="G48" i="4"/>
  <c r="F48" i="4"/>
  <c r="D63" i="4" s="1"/>
  <c r="H47" i="4"/>
  <c r="G47" i="4"/>
  <c r="F47" i="4"/>
  <c r="H46" i="4"/>
  <c r="G46" i="4"/>
  <c r="F46" i="4"/>
  <c r="H45" i="4"/>
  <c r="G45" i="4"/>
  <c r="F45" i="4"/>
  <c r="D62" i="4" s="1"/>
  <c r="H44" i="4"/>
  <c r="G44" i="4"/>
  <c r="F44" i="4"/>
  <c r="C62" i="4" s="1"/>
  <c r="H43" i="4"/>
  <c r="G43" i="4"/>
  <c r="F43" i="4"/>
  <c r="E61" i="4" s="1"/>
  <c r="H42" i="4"/>
  <c r="G42" i="4"/>
  <c r="F42" i="4"/>
  <c r="H41" i="4"/>
  <c r="G41" i="4"/>
  <c r="F41" i="4"/>
  <c r="G32" i="4"/>
  <c r="D32" i="4"/>
  <c r="B32" i="4"/>
  <c r="D33" i="4" s="1"/>
  <c r="C37" i="4" s="1"/>
  <c r="C61" i="4" l="1"/>
  <c r="F50" i="4"/>
  <c r="C53" i="4" s="1"/>
  <c r="D65" i="4"/>
  <c r="D64" i="4"/>
  <c r="E65" i="4"/>
  <c r="E64" i="4"/>
  <c r="G62" i="4"/>
  <c r="F62" i="4"/>
  <c r="G63" i="4"/>
  <c r="F63" i="4"/>
  <c r="C55" i="4"/>
  <c r="D75" i="4" s="1"/>
  <c r="E75" i="4" s="1"/>
  <c r="C81" i="4"/>
  <c r="H75" i="4"/>
  <c r="G75" i="4"/>
  <c r="H76" i="4"/>
  <c r="G76" i="4"/>
  <c r="H79" i="4"/>
  <c r="G79" i="4"/>
  <c r="E88" i="1"/>
  <c r="D88" i="1"/>
  <c r="D87" i="1"/>
  <c r="C61" i="1"/>
  <c r="C80" i="1"/>
  <c r="H78" i="1" s="1"/>
  <c r="C79" i="1"/>
  <c r="H79" i="1" s="1"/>
  <c r="G78" i="1"/>
  <c r="H77" i="1"/>
  <c r="C76" i="1"/>
  <c r="H76" i="1" s="1"/>
  <c r="C75" i="1"/>
  <c r="C81" i="1" s="1"/>
  <c r="D51" i="1"/>
  <c r="E51" i="1"/>
  <c r="C51" i="1"/>
  <c r="D50" i="1"/>
  <c r="E50" i="1"/>
  <c r="C50" i="1"/>
  <c r="H42" i="1"/>
  <c r="H43" i="1"/>
  <c r="H44" i="1"/>
  <c r="H45" i="1"/>
  <c r="H46" i="1"/>
  <c r="H47" i="1"/>
  <c r="H48" i="1"/>
  <c r="H49" i="1"/>
  <c r="H41" i="1"/>
  <c r="G42" i="1"/>
  <c r="G43" i="1"/>
  <c r="G44" i="1"/>
  <c r="G45" i="1"/>
  <c r="G46" i="1"/>
  <c r="G47" i="1"/>
  <c r="G48" i="1"/>
  <c r="G49" i="1"/>
  <c r="G41" i="1"/>
  <c r="F42" i="1"/>
  <c r="D61" i="1" s="1"/>
  <c r="F43" i="1"/>
  <c r="E61" i="1" s="1"/>
  <c r="F44" i="1"/>
  <c r="C62" i="1" s="1"/>
  <c r="F45" i="1"/>
  <c r="D62" i="1" s="1"/>
  <c r="F46" i="1"/>
  <c r="E62" i="1" s="1"/>
  <c r="F47" i="1"/>
  <c r="C63" i="1" s="1"/>
  <c r="F48" i="1"/>
  <c r="D63" i="1" s="1"/>
  <c r="F49" i="1"/>
  <c r="E63" i="1" s="1"/>
  <c r="F41" i="1"/>
  <c r="G32" i="1"/>
  <c r="C54" i="4" l="1"/>
  <c r="C56" i="4"/>
  <c r="C65" i="4"/>
  <c r="C64" i="4"/>
  <c r="G61" i="4"/>
  <c r="F61" i="4"/>
  <c r="C68" i="4" s="1"/>
  <c r="D77" i="4" s="1"/>
  <c r="E77" i="4" s="1"/>
  <c r="F50" i="1"/>
  <c r="C53" i="1" s="1"/>
  <c r="C56" i="1" s="1"/>
  <c r="D76" i="1" s="1"/>
  <c r="F63" i="1"/>
  <c r="G63" i="1"/>
  <c r="E65" i="1"/>
  <c r="F62" i="1"/>
  <c r="D65" i="1"/>
  <c r="E76" i="1"/>
  <c r="C55" i="1"/>
  <c r="D75" i="1" s="1"/>
  <c r="E75" i="1" s="1"/>
  <c r="G62" i="1"/>
  <c r="E64" i="1"/>
  <c r="G75" i="1"/>
  <c r="G76" i="1"/>
  <c r="G79" i="1"/>
  <c r="C54" i="1"/>
  <c r="D64" i="1"/>
  <c r="H75" i="1"/>
  <c r="G77" i="1"/>
  <c r="D32" i="1"/>
  <c r="B32" i="1"/>
  <c r="C69" i="4" l="1"/>
  <c r="D78" i="4" s="1"/>
  <c r="E78" i="4" s="1"/>
  <c r="F64" i="4"/>
  <c r="D76" i="4"/>
  <c r="E76" i="4" s="1"/>
  <c r="C70" i="4"/>
  <c r="D79" i="4" s="1"/>
  <c r="E79" i="4" s="1"/>
  <c r="D81" i="4"/>
  <c r="E81" i="4" s="1"/>
  <c r="C57" i="4"/>
  <c r="D80" i="4" s="1"/>
  <c r="E80" i="4" s="1"/>
  <c r="D81" i="1"/>
  <c r="E81" i="1" s="1"/>
  <c r="C57" i="1"/>
  <c r="D80" i="1" s="1"/>
  <c r="E80" i="1" s="1"/>
  <c r="C84" i="1" s="1"/>
  <c r="F75" i="1"/>
  <c r="I75" i="1" s="1"/>
  <c r="F76" i="1"/>
  <c r="I76" i="1" s="1"/>
  <c r="D33" i="1"/>
  <c r="C84" i="4" l="1"/>
  <c r="F75" i="4"/>
  <c r="I75" i="4" s="1"/>
  <c r="F77" i="4"/>
  <c r="I77" i="4" s="1"/>
  <c r="F79" i="4"/>
  <c r="I79" i="4" s="1"/>
  <c r="F76" i="4"/>
  <c r="I76" i="4" s="1"/>
  <c r="F78" i="4"/>
  <c r="I78" i="4" s="1"/>
  <c r="C37" i="1"/>
  <c r="F61" i="1"/>
  <c r="C68" i="1"/>
  <c r="D77" i="1"/>
  <c r="E77" i="1"/>
  <c r="F77" i="1"/>
  <c r="I77" i="1" s="1"/>
  <c r="C64" i="1"/>
  <c r="C69" i="1" s="1"/>
  <c r="D78" i="1" s="1"/>
  <c r="E78" i="1" s="1"/>
  <c r="F78" i="1" s="1"/>
  <c r="I78" i="1" s="1"/>
  <c r="F64" i="1"/>
  <c r="C65" i="1"/>
  <c r="G61" i="1"/>
  <c r="C70" i="1" l="1"/>
  <c r="D79" i="1" s="1"/>
  <c r="E79" i="1" s="1"/>
  <c r="F79" i="1" s="1"/>
  <c r="I79" i="1" s="1"/>
</calcChain>
</file>

<file path=xl/sharedStrings.xml><?xml version="1.0" encoding="utf-8"?>
<sst xmlns="http://schemas.openxmlformats.org/spreadsheetml/2006/main" count="271" uniqueCount="87">
  <si>
    <t>KURVA STANDAR TROLOX</t>
  </si>
  <si>
    <t>Konsentrasi (ppm)</t>
  </si>
  <si>
    <t xml:space="preserve">Absorbansi </t>
  </si>
  <si>
    <t xml:space="preserve">Absorbansi sampel = </t>
  </si>
  <si>
    <t>y</t>
  </si>
  <si>
    <t>=</t>
  </si>
  <si>
    <t xml:space="preserve">x </t>
  </si>
  <si>
    <t>+</t>
  </si>
  <si>
    <t>x</t>
  </si>
  <si>
    <t>ppm</t>
  </si>
  <si>
    <t>AA=(KTE x V x fp)/g</t>
  </si>
  <si>
    <t>AA=</t>
  </si>
  <si>
    <t>(63.7826087 x 0,15)/0,15</t>
  </si>
  <si>
    <t>mg TE</t>
  </si>
  <si>
    <t>perlakuan</t>
  </si>
  <si>
    <t>ulangan 1</t>
  </si>
  <si>
    <t>ulangan 2</t>
  </si>
  <si>
    <t>ulangan 3</t>
  </si>
  <si>
    <t xml:space="preserve">Absorbansi sampel </t>
  </si>
  <si>
    <t xml:space="preserve">total </t>
  </si>
  <si>
    <t>rerata</t>
  </si>
  <si>
    <t>stdev</t>
  </si>
  <si>
    <t xml:space="preserve">rerata </t>
  </si>
  <si>
    <t>t</t>
  </si>
  <si>
    <t>n</t>
  </si>
  <si>
    <t>FK</t>
  </si>
  <si>
    <t>JKT</t>
  </si>
  <si>
    <t>JKK</t>
  </si>
  <si>
    <t>JKP</t>
  </si>
  <si>
    <t>JKG</t>
  </si>
  <si>
    <t>TABEL DUA ARAH</t>
  </si>
  <si>
    <t xml:space="preserve">Perlakuan </t>
  </si>
  <si>
    <t xml:space="preserve">Total </t>
  </si>
  <si>
    <t>Rerata</t>
  </si>
  <si>
    <t>TABEL ANOVA</t>
  </si>
  <si>
    <t>d.b.=DF</t>
  </si>
  <si>
    <t>J.K = Adj SS</t>
  </si>
  <si>
    <t>K.T = Adj MS</t>
  </si>
  <si>
    <t>F hitung = F</t>
  </si>
  <si>
    <t>SUMBER VARIASI</t>
  </si>
  <si>
    <t>d.b</t>
  </si>
  <si>
    <t>J.K.</t>
  </si>
  <si>
    <t>K.T.</t>
  </si>
  <si>
    <t>F hitung</t>
  </si>
  <si>
    <t>F tabel 5%</t>
  </si>
  <si>
    <t>F tabel 1%</t>
  </si>
  <si>
    <t>Notasi</t>
  </si>
  <si>
    <t>KELOMPOK</t>
  </si>
  <si>
    <t>PERLAKUAN</t>
  </si>
  <si>
    <t>GALAT</t>
  </si>
  <si>
    <t>TOTAL</t>
  </si>
  <si>
    <t>uji lanjut BNJ</t>
  </si>
  <si>
    <t>BNJ</t>
  </si>
  <si>
    <t>-</t>
  </si>
  <si>
    <t>a</t>
  </si>
  <si>
    <t>b</t>
  </si>
  <si>
    <t xml:space="preserve"> </t>
  </si>
  <si>
    <t>G1P1</t>
  </si>
  <si>
    <t>G2P1</t>
  </si>
  <si>
    <t>G3P1</t>
  </si>
  <si>
    <t>G1P2</t>
  </si>
  <si>
    <t>G2P2</t>
  </si>
  <si>
    <t>G3P2</t>
  </si>
  <si>
    <t>G1P3</t>
  </si>
  <si>
    <t>G2P3</t>
  </si>
  <si>
    <t>G3P3</t>
  </si>
  <si>
    <t>G1</t>
  </si>
  <si>
    <t>G2</t>
  </si>
  <si>
    <t>P1</t>
  </si>
  <si>
    <t>P2</t>
  </si>
  <si>
    <t>P3</t>
  </si>
  <si>
    <t>G3</t>
  </si>
  <si>
    <t>fp</t>
  </si>
  <si>
    <t>vol larutan awal</t>
  </si>
  <si>
    <t>berat sampel</t>
  </si>
  <si>
    <t>mg</t>
  </si>
  <si>
    <t>P</t>
  </si>
  <si>
    <t>G</t>
  </si>
  <si>
    <t>G X P</t>
  </si>
  <si>
    <t>J.K.G</t>
  </si>
  <si>
    <t>J.K.P</t>
  </si>
  <si>
    <t>J.K. Interaksi (G X P)</t>
  </si>
  <si>
    <t>absorbansi sampel</t>
  </si>
  <si>
    <t>absorbansi sampel nilai x</t>
  </si>
  <si>
    <t>gula total mg/g</t>
  </si>
  <si>
    <t>gula total bahan basah (%)</t>
  </si>
  <si>
    <t>J.K. Ineraksi (G X 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</si>
</sst>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0000"/>
    <numFmt numFmtId="167" formatCode="0.0"/>
  </numFmts>
  <fonts count="8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56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8FBC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1" fillId="0" borderId="0" xfId="0" quotePrefix="1" applyFont="1"/>
    <xf numFmtId="164" fontId="2" fillId="0" borderId="0" xfId="0" applyNumberFormat="1" applyFont="1"/>
    <xf numFmtId="0" fontId="0" fillId="0" borderId="1" xfId="0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165" fontId="0" fillId="0" borderId="0" xfId="0" applyNumberFormat="1"/>
    <xf numFmtId="166" fontId="0" fillId="0" borderId="0" xfId="0" applyNumberFormat="1"/>
    <xf numFmtId="2" fontId="0" fillId="0" borderId="1" xfId="0" applyNumberFormat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1" fillId="4" borderId="0" xfId="0" applyFont="1" applyFill="1"/>
    <xf numFmtId="0" fontId="2" fillId="4" borderId="0" xfId="0" applyFont="1" applyFill="1"/>
    <xf numFmtId="0" fontId="0" fillId="3" borderId="1" xfId="0" applyFill="1" applyBorder="1" applyAlignment="1">
      <alignment horizontal="center" vertical="center" wrapText="1"/>
    </xf>
    <xf numFmtId="2" fontId="5" fillId="2" borderId="1" xfId="0" applyNumberFormat="1" applyFont="1" applyFill="1" applyBorder="1"/>
    <xf numFmtId="0" fontId="5" fillId="2" borderId="1" xfId="0" applyFont="1" applyFill="1" applyBorder="1"/>
    <xf numFmtId="0" fontId="1" fillId="3" borderId="2" xfId="0" applyFont="1" applyFill="1" applyBorder="1"/>
    <xf numFmtId="0" fontId="1" fillId="0" borderId="1" xfId="0" applyFont="1" applyBorder="1"/>
    <xf numFmtId="2" fontId="0" fillId="0" borderId="1" xfId="0" applyNumberFormat="1" applyBorder="1" applyAlignment="1">
      <alignment horizontal="center" vertical="center"/>
    </xf>
    <xf numFmtId="167" fontId="1" fillId="0" borderId="0" xfId="0" applyNumberFormat="1" applyFont="1"/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FB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d-ID"/>
              <a:t>Kurva Standar</a:t>
            </a:r>
            <a:r>
              <a:rPr lang="id-ID" baseline="0"/>
              <a:t> Trolox</a:t>
            </a:r>
            <a:endParaRPr lang="id-ID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7508814523184603"/>
                  <c:y val="-0.55704469233012543"/>
                </c:manualLayout>
              </c:layout>
              <c:numFmt formatCode="General" sourceLinked="0"/>
            </c:trendlineLbl>
          </c:trendline>
          <c:xVal>
            <c:numRef>
              <c:f>'Uji Gula Total'!$B$5:$B$10</c:f>
              <c:numCache>
                <c:formatCode>General</c:formatCode>
                <c:ptCount val="6"/>
                <c:pt idx="0">
                  <c:v>1</c:v>
                </c:pt>
                <c:pt idx="1">
                  <c:v>0.8</c:v>
                </c:pt>
                <c:pt idx="2">
                  <c:v>0.6</c:v>
                </c:pt>
                <c:pt idx="3">
                  <c:v>0.4</c:v>
                </c:pt>
                <c:pt idx="4">
                  <c:v>0.2</c:v>
                </c:pt>
                <c:pt idx="5">
                  <c:v>0</c:v>
                </c:pt>
              </c:numCache>
            </c:numRef>
          </c:xVal>
          <c:yVal>
            <c:numRef>
              <c:f>'Uji Gula Total'!$C$5:$C$10</c:f>
              <c:numCache>
                <c:formatCode>General</c:formatCode>
                <c:ptCount val="6"/>
                <c:pt idx="0">
                  <c:v>0.623</c:v>
                </c:pt>
                <c:pt idx="1">
                  <c:v>0.56699999999999995</c:v>
                </c:pt>
                <c:pt idx="2">
                  <c:v>0.438</c:v>
                </c:pt>
                <c:pt idx="3">
                  <c:v>0.26800000000000002</c:v>
                </c:pt>
                <c:pt idx="4">
                  <c:v>0.21299999999999999</c:v>
                </c:pt>
                <c:pt idx="5">
                  <c:v>0.14699999999999999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F2-4DD6-9FC5-A89165EFB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987168"/>
        <c:axId val="-1272992608"/>
      </c:scatterChart>
      <c:valAx>
        <c:axId val="-127298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Konsentrasi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1272992608"/>
        <c:crosses val="autoZero"/>
        <c:crossBetween val="midCat"/>
      </c:valAx>
      <c:valAx>
        <c:axId val="-1272992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Absorbansi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12729871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d-ID"/>
              <a:t>Kurva Standar</a:t>
            </a:r>
            <a:r>
              <a:rPr lang="id-ID" baseline="0"/>
              <a:t> Trolox</a:t>
            </a:r>
            <a:endParaRPr lang="id-ID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7508814523184603"/>
                  <c:y val="-0.55704469233012543"/>
                </c:manualLayout>
              </c:layout>
              <c:numFmt formatCode="General" sourceLinked="0"/>
            </c:trendlineLbl>
          </c:trendline>
          <c:xVal>
            <c:numRef>
              <c:f>'Uji Antioksidan'!$B$5:$B$10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</c:numCache>
            </c:numRef>
          </c:xVal>
          <c:yVal>
            <c:numRef>
              <c:f>'Uji Antioksidan'!$C$5:$C$10</c:f>
              <c:numCache>
                <c:formatCode>General</c:formatCode>
                <c:ptCount val="6"/>
                <c:pt idx="0">
                  <c:v>1.9259999999999999</c:v>
                </c:pt>
                <c:pt idx="1">
                  <c:v>1.8260000000000001</c:v>
                </c:pt>
                <c:pt idx="2">
                  <c:v>1.7010000000000001</c:v>
                </c:pt>
                <c:pt idx="3">
                  <c:v>1.6259999999999999</c:v>
                </c:pt>
                <c:pt idx="4">
                  <c:v>1.5589999999999999</c:v>
                </c:pt>
                <c:pt idx="5">
                  <c:v>1.46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B9-464A-AC13-9A776D3EA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987168"/>
        <c:axId val="-1272992608"/>
      </c:scatterChart>
      <c:valAx>
        <c:axId val="-127298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Konsentrasi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1272992608"/>
        <c:crosses val="autoZero"/>
        <c:crossBetween val="midCat"/>
      </c:valAx>
      <c:valAx>
        <c:axId val="-1272992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d-ID"/>
                  <a:t>Absorbansi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12729871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1</xdr:row>
      <xdr:rowOff>42862</xdr:rowOff>
    </xdr:from>
    <xdr:to>
      <xdr:col>13</xdr:col>
      <xdr:colOff>66674</xdr:colOff>
      <xdr:row>14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DB1136-8CD9-485C-BC64-B26F80D3C3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1</xdr:row>
      <xdr:rowOff>42862</xdr:rowOff>
    </xdr:from>
    <xdr:to>
      <xdr:col>13</xdr:col>
      <xdr:colOff>66674</xdr:colOff>
      <xdr:row>14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</xdr:row>
      <xdr:rowOff>0</xdr:rowOff>
    </xdr:from>
    <xdr:to>
      <xdr:col>23</xdr:col>
      <xdr:colOff>36832</xdr:colOff>
      <xdr:row>32</xdr:row>
      <xdr:rowOff>20107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5D76DB2-961F-4069-A031-C1F34DD66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200025"/>
          <a:ext cx="5523231" cy="6220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EBA5E-739B-4487-889E-2F9A97AA21ED}">
  <dimension ref="A2:Q92"/>
  <sheetViews>
    <sheetView tabSelected="1" zoomScale="70" zoomScaleNormal="70" workbookViewId="0">
      <selection activeCell="H87" sqref="H87"/>
    </sheetView>
  </sheetViews>
  <sheetFormatPr defaultColWidth="9.140625" defaultRowHeight="15.75" x14ac:dyDescent="0.25"/>
  <cols>
    <col min="1" max="1" width="9.140625" style="1"/>
    <col min="2" max="2" width="24" style="1" customWidth="1"/>
    <col min="3" max="3" width="20.140625" style="1" customWidth="1"/>
    <col min="4" max="4" width="14.5703125" style="1" customWidth="1"/>
    <col min="5" max="5" width="16.140625" style="1" customWidth="1"/>
    <col min="6" max="6" width="10.28515625" style="1" bestFit="1" customWidth="1"/>
    <col min="7" max="7" width="10.140625" style="1" customWidth="1"/>
    <col min="8" max="8" width="18.7109375" style="1" customWidth="1"/>
    <col min="9" max="9" width="17.42578125" style="1" customWidth="1"/>
    <col min="10" max="10" width="17.28515625" style="1" customWidth="1"/>
    <col min="11" max="13" width="9.140625" style="1"/>
    <col min="14" max="14" width="12.7109375" style="1" customWidth="1"/>
    <col min="15" max="15" width="14" style="1" customWidth="1"/>
    <col min="16" max="16" width="13.5703125" style="1" customWidth="1"/>
    <col min="17" max="17" width="11.140625" style="1" customWidth="1"/>
    <col min="18" max="16384" width="9.140625" style="1"/>
  </cols>
  <sheetData>
    <row r="2" spans="2:3" x14ac:dyDescent="0.25">
      <c r="B2" s="41" t="s">
        <v>0</v>
      </c>
      <c r="C2" s="41"/>
    </row>
    <row r="4" spans="2:3" ht="15.75" customHeight="1" x14ac:dyDescent="0.25">
      <c r="B4" s="29" t="s">
        <v>1</v>
      </c>
      <c r="C4" s="29" t="s">
        <v>2</v>
      </c>
    </row>
    <row r="5" spans="2:3" x14ac:dyDescent="0.25">
      <c r="B5" s="2">
        <v>1</v>
      </c>
      <c r="C5" s="2">
        <v>0.623</v>
      </c>
    </row>
    <row r="6" spans="2:3" x14ac:dyDescent="0.25">
      <c r="B6" s="2">
        <v>0.8</v>
      </c>
      <c r="C6" s="2">
        <v>0.56699999999999995</v>
      </c>
    </row>
    <row r="7" spans="2:3" x14ac:dyDescent="0.25">
      <c r="B7" s="2">
        <v>0.6</v>
      </c>
      <c r="C7" s="2">
        <v>0.438</v>
      </c>
    </row>
    <row r="8" spans="2:3" x14ac:dyDescent="0.25">
      <c r="B8" s="2">
        <v>0.4</v>
      </c>
      <c r="C8" s="2">
        <v>0.26800000000000002</v>
      </c>
    </row>
    <row r="9" spans="2:3" x14ac:dyDescent="0.25">
      <c r="B9" s="2">
        <v>0.2</v>
      </c>
      <c r="C9" s="2">
        <v>0.21299999999999999</v>
      </c>
    </row>
    <row r="10" spans="2:3" x14ac:dyDescent="0.25">
      <c r="B10" s="2">
        <v>0</v>
      </c>
      <c r="C10" s="2">
        <v>0.14699999999999999</v>
      </c>
    </row>
    <row r="17" spans="2:17" x14ac:dyDescent="0.25">
      <c r="B17" s="1" t="s">
        <v>82</v>
      </c>
      <c r="G17" s="1" t="s">
        <v>83</v>
      </c>
      <c r="M17" s="1" t="s">
        <v>84</v>
      </c>
    </row>
    <row r="18" spans="2:17" x14ac:dyDescent="0.25">
      <c r="B18" s="24" t="s">
        <v>14</v>
      </c>
      <c r="C18" s="24" t="s">
        <v>15</v>
      </c>
      <c r="D18" s="24" t="s">
        <v>16</v>
      </c>
      <c r="E18" s="24" t="s">
        <v>17</v>
      </c>
      <c r="G18" s="24" t="s">
        <v>14</v>
      </c>
      <c r="H18" s="24" t="s">
        <v>15</v>
      </c>
      <c r="I18" s="24" t="s">
        <v>16</v>
      </c>
      <c r="J18" s="24" t="s">
        <v>17</v>
      </c>
      <c r="M18" s="24" t="s">
        <v>14</v>
      </c>
      <c r="N18" s="24" t="s">
        <v>15</v>
      </c>
      <c r="O18" s="24" t="s">
        <v>16</v>
      </c>
      <c r="P18" s="24" t="s">
        <v>17</v>
      </c>
      <c r="Q18" s="32" t="s">
        <v>20</v>
      </c>
    </row>
    <row r="19" spans="2:17" x14ac:dyDescent="0.25">
      <c r="B19" s="6" t="s">
        <v>57</v>
      </c>
      <c r="C19" s="6">
        <v>0.61699999999999999</v>
      </c>
      <c r="D19" s="6">
        <v>0.71199999999999997</v>
      </c>
      <c r="E19" s="6">
        <v>0.56200000000000006</v>
      </c>
      <c r="F19" s="3"/>
      <c r="G19" s="6" t="s">
        <v>57</v>
      </c>
      <c r="H19" s="6">
        <v>719.44399999999996</v>
      </c>
      <c r="I19" s="6">
        <v>666.66600000000005</v>
      </c>
      <c r="J19" s="6">
        <v>750</v>
      </c>
      <c r="M19" s="6" t="s">
        <v>57</v>
      </c>
      <c r="N19" s="6">
        <f>H19*J31*(J32/J33)</f>
        <v>71.944400000000002</v>
      </c>
      <c r="O19" s="6">
        <f>I19*J31*(J32/J33)</f>
        <v>66.666600000000003</v>
      </c>
      <c r="P19" s="6">
        <f>J19*J31*(J32/J33)</f>
        <v>75</v>
      </c>
      <c r="Q19" s="33">
        <f>AVERAGE(N19:P19)</f>
        <v>71.203666666666663</v>
      </c>
    </row>
    <row r="20" spans="2:17" x14ac:dyDescent="0.25">
      <c r="B20" s="6" t="s">
        <v>60</v>
      </c>
      <c r="C20" s="6">
        <v>0.501</v>
      </c>
      <c r="D20" s="6">
        <v>0.71599999999999997</v>
      </c>
      <c r="E20" s="6">
        <v>0.47099999999999997</v>
      </c>
      <c r="G20" s="6" t="s">
        <v>60</v>
      </c>
      <c r="H20" s="6">
        <v>783.88800000000003</v>
      </c>
      <c r="I20" s="6">
        <v>664.44399999999996</v>
      </c>
      <c r="J20" s="6">
        <v>800.55499999999995</v>
      </c>
      <c r="M20" s="6" t="s">
        <v>60</v>
      </c>
      <c r="N20" s="6">
        <f>H20*J31*(J32/J33)</f>
        <v>78.388800000000003</v>
      </c>
      <c r="O20" s="6">
        <f>I20*J31*(J32/J33)</f>
        <v>66.444400000000002</v>
      </c>
      <c r="P20" s="6">
        <f>J20*J31*(J32/J33)</f>
        <v>80.055500000000009</v>
      </c>
      <c r="Q20" s="33">
        <f t="shared" ref="Q20:Q27" si="0">AVERAGE(N20:P20)</f>
        <v>74.962900000000005</v>
      </c>
    </row>
    <row r="21" spans="2:17" x14ac:dyDescent="0.25">
      <c r="B21" s="6" t="s">
        <v>63</v>
      </c>
      <c r="C21" s="6">
        <v>0.45300000000000001</v>
      </c>
      <c r="D21" s="6">
        <v>0.80100000000000005</v>
      </c>
      <c r="E21" s="6">
        <v>1.42</v>
      </c>
      <c r="G21" s="6" t="s">
        <v>63</v>
      </c>
      <c r="H21" s="6">
        <v>810.55499999999995</v>
      </c>
      <c r="I21" s="6">
        <v>617.22199999999998</v>
      </c>
      <c r="J21" s="6">
        <v>273.33300000000003</v>
      </c>
      <c r="M21" s="6" t="s">
        <v>63</v>
      </c>
      <c r="N21" s="6">
        <f>H21*J31*(J32/J33)</f>
        <v>81.055500000000009</v>
      </c>
      <c r="O21" s="6">
        <f>I21*J31*(J32/J33)</f>
        <v>61.722200000000001</v>
      </c>
      <c r="P21" s="6">
        <f>J21*J31*(J32/J33)</f>
        <v>27.333300000000001</v>
      </c>
      <c r="Q21" s="33">
        <f t="shared" si="0"/>
        <v>56.70366666666667</v>
      </c>
    </row>
    <row r="22" spans="2:17" x14ac:dyDescent="0.25">
      <c r="B22" s="6" t="s">
        <v>58</v>
      </c>
      <c r="C22" s="6">
        <v>0.61799999999999999</v>
      </c>
      <c r="D22" s="6">
        <v>0.54900000000000004</v>
      </c>
      <c r="E22" s="6">
        <v>0.61599999999999999</v>
      </c>
      <c r="G22" s="6" t="s">
        <v>58</v>
      </c>
      <c r="H22" s="6">
        <v>718.88800000000003</v>
      </c>
      <c r="I22" s="6">
        <v>757.22199999999998</v>
      </c>
      <c r="J22" s="6">
        <v>720</v>
      </c>
      <c r="M22" s="6" t="s">
        <v>58</v>
      </c>
      <c r="N22" s="6">
        <f>H22*J31*(J32/J33)</f>
        <v>71.888800000000003</v>
      </c>
      <c r="O22" s="6">
        <f>I22*J31*(J32/J33)</f>
        <v>75.722200000000001</v>
      </c>
      <c r="P22" s="6">
        <f>J22*J31*(J32/J33)</f>
        <v>72</v>
      </c>
      <c r="Q22" s="33">
        <f t="shared" si="0"/>
        <v>73.203666666666663</v>
      </c>
    </row>
    <row r="23" spans="2:17" x14ac:dyDescent="0.25">
      <c r="B23" s="6" t="s">
        <v>61</v>
      </c>
      <c r="C23" s="6">
        <v>0.61799999999999999</v>
      </c>
      <c r="D23" s="6">
        <v>0.61099999999999999</v>
      </c>
      <c r="E23" s="6">
        <v>0.52100000000000002</v>
      </c>
      <c r="G23" s="6" t="s">
        <v>61</v>
      </c>
      <c r="H23" s="6">
        <v>718.88800000000003</v>
      </c>
      <c r="I23" s="6">
        <v>722.77700000000004</v>
      </c>
      <c r="J23" s="6">
        <v>772.77700000000004</v>
      </c>
      <c r="M23" s="6" t="s">
        <v>61</v>
      </c>
      <c r="N23" s="6">
        <f>H23*J31*(J32/J33)</f>
        <v>71.888800000000003</v>
      </c>
      <c r="O23" s="6">
        <f>I23*J31*(J32/J33)</f>
        <v>72.27770000000001</v>
      </c>
      <c r="P23" s="6">
        <f>J23*J31*(J32/J33)</f>
        <v>77.27770000000001</v>
      </c>
      <c r="Q23" s="33">
        <f t="shared" si="0"/>
        <v>73.814733333333336</v>
      </c>
    </row>
    <row r="24" spans="2:17" x14ac:dyDescent="0.25">
      <c r="B24" s="6" t="s">
        <v>64</v>
      </c>
      <c r="C24" s="6">
        <v>0.52800000000000002</v>
      </c>
      <c r="D24" s="6">
        <v>0.496</v>
      </c>
      <c r="E24" s="6">
        <v>0.504</v>
      </c>
      <c r="G24" s="6" t="s">
        <v>64</v>
      </c>
      <c r="H24" s="6">
        <v>768.88800000000003</v>
      </c>
      <c r="I24" s="6">
        <v>786.66600000000005</v>
      </c>
      <c r="J24" s="6">
        <v>782.22199999999998</v>
      </c>
      <c r="M24" s="6" t="s">
        <v>64</v>
      </c>
      <c r="N24" s="6">
        <f>H24*J31*(J32/J33)</f>
        <v>76.888800000000003</v>
      </c>
      <c r="O24" s="6">
        <f>I24*J31*(J32/J33)</f>
        <v>78.666600000000003</v>
      </c>
      <c r="P24" s="6">
        <f>J24*J31*(J32/J33)</f>
        <v>78.222200000000001</v>
      </c>
      <c r="Q24" s="33">
        <f t="shared" si="0"/>
        <v>77.925866666666664</v>
      </c>
    </row>
    <row r="25" spans="2:17" x14ac:dyDescent="0.25">
      <c r="B25" s="6" t="s">
        <v>59</v>
      </c>
      <c r="C25" s="6">
        <v>0.47699999999999998</v>
      </c>
      <c r="D25" s="6">
        <v>1.48</v>
      </c>
      <c r="E25" s="6">
        <v>1.603</v>
      </c>
      <c r="G25" s="6" t="s">
        <v>59</v>
      </c>
      <c r="H25" s="6">
        <v>797.22199999999998</v>
      </c>
      <c r="I25" s="6">
        <v>240</v>
      </c>
      <c r="J25" s="6">
        <v>171.666</v>
      </c>
      <c r="M25" s="6" t="s">
        <v>59</v>
      </c>
      <c r="N25" s="6">
        <f>H25*J31*(J32/J33)</f>
        <v>79.722200000000001</v>
      </c>
      <c r="O25" s="6">
        <f>I25*J31*(J32/J33)</f>
        <v>24</v>
      </c>
      <c r="P25" s="6">
        <f>J25*J31*(J32/J33)</f>
        <v>17.166600000000003</v>
      </c>
      <c r="Q25" s="33">
        <f t="shared" si="0"/>
        <v>40.296266666666668</v>
      </c>
    </row>
    <row r="26" spans="2:17" x14ac:dyDescent="0.25">
      <c r="B26" s="6" t="s">
        <v>62</v>
      </c>
      <c r="C26" s="6">
        <v>1.41</v>
      </c>
      <c r="D26" s="6">
        <v>0.51300000000000001</v>
      </c>
      <c r="E26" s="6">
        <v>0.78700000000000003</v>
      </c>
      <c r="F26" s="4"/>
      <c r="G26" s="6" t="s">
        <v>62</v>
      </c>
      <c r="H26" s="6">
        <v>278.88799999999998</v>
      </c>
      <c r="I26" s="6">
        <v>777.22199999999998</v>
      </c>
      <c r="J26" s="6">
        <v>625</v>
      </c>
      <c r="M26" s="6" t="s">
        <v>62</v>
      </c>
      <c r="N26" s="6">
        <f>H26*J31*(J32/J33)</f>
        <v>27.8888</v>
      </c>
      <c r="O26" s="6">
        <f>I26*J31*(J32/J33)</f>
        <v>77.722200000000001</v>
      </c>
      <c r="P26" s="6">
        <f>J26*J31*(J32/J33)</f>
        <v>62.5</v>
      </c>
      <c r="Q26" s="33">
        <f t="shared" si="0"/>
        <v>56.036999999999999</v>
      </c>
    </row>
    <row r="27" spans="2:17" x14ac:dyDescent="0.25">
      <c r="B27" s="6" t="s">
        <v>65</v>
      </c>
      <c r="C27" s="6">
        <v>1.6180000000000001</v>
      </c>
      <c r="D27" s="6">
        <v>1.704</v>
      </c>
      <c r="E27" s="6">
        <v>0.63200000000000001</v>
      </c>
      <c r="G27" s="6" t="s">
        <v>65</v>
      </c>
      <c r="H27" s="6">
        <v>163.333</v>
      </c>
      <c r="I27" s="6">
        <v>115.55500000000001</v>
      </c>
      <c r="J27" s="6">
        <v>711.11099999999999</v>
      </c>
      <c r="M27" s="6" t="s">
        <v>65</v>
      </c>
      <c r="N27" s="6">
        <f>H27*J31*(J32/J33)</f>
        <v>16.333300000000001</v>
      </c>
      <c r="O27" s="6">
        <f>I27*J31*(J32/J33)</f>
        <v>11.5555</v>
      </c>
      <c r="P27" s="6">
        <f>J27*J31*(J32/J33)</f>
        <v>71.111100000000008</v>
      </c>
      <c r="Q27" s="33">
        <f t="shared" si="0"/>
        <v>32.999966666666673</v>
      </c>
    </row>
    <row r="28" spans="2:17" x14ac:dyDescent="0.25">
      <c r="D28"/>
      <c r="E28"/>
    </row>
    <row r="30" spans="2:17" x14ac:dyDescent="0.25">
      <c r="B30" s="3" t="s">
        <v>3</v>
      </c>
      <c r="D30" s="5">
        <v>0.63200000000000001</v>
      </c>
      <c r="M30" s="1" t="s">
        <v>85</v>
      </c>
    </row>
    <row r="31" spans="2:17" x14ac:dyDescent="0.25">
      <c r="B31" s="1" t="s">
        <v>4</v>
      </c>
      <c r="C31" s="4" t="s">
        <v>5</v>
      </c>
      <c r="D31" s="1">
        <v>-1.8E-3</v>
      </c>
      <c r="E31" s="1" t="s">
        <v>6</v>
      </c>
      <c r="F31" s="4" t="s">
        <v>7</v>
      </c>
      <c r="G31" s="1">
        <v>1.9119999999999999</v>
      </c>
      <c r="I31" s="1" t="s">
        <v>72</v>
      </c>
      <c r="J31" s="1">
        <v>1000</v>
      </c>
      <c r="M31" s="24" t="s">
        <v>14</v>
      </c>
      <c r="N31" s="24" t="s">
        <v>15</v>
      </c>
      <c r="O31" s="24" t="s">
        <v>16</v>
      </c>
      <c r="P31" s="24" t="s">
        <v>17</v>
      </c>
      <c r="Q31" s="32" t="s">
        <v>20</v>
      </c>
    </row>
    <row r="32" spans="2:17" x14ac:dyDescent="0.25">
      <c r="B32" s="1">
        <f>D30</f>
        <v>0.63200000000000001</v>
      </c>
      <c r="C32" s="4" t="s">
        <v>5</v>
      </c>
      <c r="D32" s="1">
        <f>D31</f>
        <v>-1.8E-3</v>
      </c>
      <c r="E32" s="1" t="s">
        <v>6</v>
      </c>
      <c r="F32" s="4" t="s">
        <v>7</v>
      </c>
      <c r="G32" s="1">
        <f>G31</f>
        <v>1.9119999999999999</v>
      </c>
      <c r="I32" s="1" t="s">
        <v>73</v>
      </c>
      <c r="J32" s="1">
        <v>0.1</v>
      </c>
      <c r="M32" s="6" t="s">
        <v>57</v>
      </c>
      <c r="N32" s="6">
        <f t="shared" ref="N32:P40" si="1">N19/10*100</f>
        <v>719.44399999999996</v>
      </c>
      <c r="O32" s="6">
        <f>O19/10*100</f>
        <v>666.66600000000005</v>
      </c>
      <c r="P32" s="6">
        <f>P19/10*100</f>
        <v>750</v>
      </c>
      <c r="Q32" s="33">
        <f>AVERAGE(N32:P32)</f>
        <v>712.03666666666675</v>
      </c>
    </row>
    <row r="33" spans="2:17" x14ac:dyDescent="0.25">
      <c r="B33" s="1" t="s">
        <v>8</v>
      </c>
      <c r="C33" s="4" t="s">
        <v>5</v>
      </c>
      <c r="D33" s="3">
        <f>(B32-G32)/D31</f>
        <v>711.11111111111097</v>
      </c>
      <c r="E33" s="1" t="s">
        <v>9</v>
      </c>
      <c r="I33" s="1" t="s">
        <v>74</v>
      </c>
      <c r="J33" s="1">
        <v>1000</v>
      </c>
      <c r="K33" s="1" t="s">
        <v>75</v>
      </c>
      <c r="L33" s="1" t="s">
        <v>56</v>
      </c>
      <c r="M33" s="6" t="s">
        <v>60</v>
      </c>
      <c r="N33" s="6">
        <f t="shared" si="1"/>
        <v>783.88800000000003</v>
      </c>
      <c r="O33" s="6">
        <f t="shared" si="1"/>
        <v>664.44400000000007</v>
      </c>
      <c r="P33" s="6">
        <f t="shared" si="1"/>
        <v>800.55500000000018</v>
      </c>
      <c r="Q33" s="33">
        <f t="shared" ref="Q33:Q40" si="2">AVERAGE(N33:P33)</f>
        <v>749.62900000000002</v>
      </c>
    </row>
    <row r="34" spans="2:17" x14ac:dyDescent="0.25">
      <c r="I34" s="1">
        <v>10</v>
      </c>
      <c r="M34" s="6" t="s">
        <v>63</v>
      </c>
      <c r="N34" s="6">
        <f t="shared" si="1"/>
        <v>810.55500000000006</v>
      </c>
      <c r="O34" s="6">
        <f t="shared" si="1"/>
        <v>617.22199999999998</v>
      </c>
      <c r="P34" s="6">
        <f t="shared" si="1"/>
        <v>273.33300000000003</v>
      </c>
      <c r="Q34" s="33">
        <f t="shared" si="2"/>
        <v>567.03666666666675</v>
      </c>
    </row>
    <row r="35" spans="2:17" x14ac:dyDescent="0.25">
      <c r="B35" s="27" t="s">
        <v>10</v>
      </c>
      <c r="C35" s="27"/>
      <c r="D35" s="28"/>
      <c r="I35" s="1">
        <v>100</v>
      </c>
      <c r="M35" s="6" t="s">
        <v>58</v>
      </c>
      <c r="N35" s="6">
        <f t="shared" si="1"/>
        <v>718.88800000000003</v>
      </c>
      <c r="O35" s="6">
        <f t="shared" si="1"/>
        <v>757.22199999999998</v>
      </c>
      <c r="P35" s="6">
        <f t="shared" si="1"/>
        <v>720</v>
      </c>
      <c r="Q35" s="33">
        <f t="shared" si="2"/>
        <v>732.03666666666675</v>
      </c>
    </row>
    <row r="36" spans="2:17" x14ac:dyDescent="0.25">
      <c r="B36" s="27" t="s">
        <v>11</v>
      </c>
      <c r="C36" s="27" t="s">
        <v>12</v>
      </c>
      <c r="D36" s="27"/>
      <c r="M36" s="6" t="s">
        <v>61</v>
      </c>
      <c r="N36" s="6">
        <f t="shared" si="1"/>
        <v>718.88800000000003</v>
      </c>
      <c r="O36" s="6">
        <f t="shared" si="1"/>
        <v>722.77700000000016</v>
      </c>
      <c r="P36" s="6">
        <f t="shared" si="1"/>
        <v>772.77700000000016</v>
      </c>
      <c r="Q36" s="33">
        <f t="shared" si="2"/>
        <v>738.14733333333345</v>
      </c>
    </row>
    <row r="37" spans="2:17" x14ac:dyDescent="0.25">
      <c r="B37" s="4" t="s">
        <v>5</v>
      </c>
      <c r="C37" s="28">
        <f>(D33*0.15)/0.15</f>
        <v>711.11111111111097</v>
      </c>
      <c r="D37" s="28" t="s">
        <v>13</v>
      </c>
      <c r="M37" s="6" t="s">
        <v>64</v>
      </c>
      <c r="N37" s="6">
        <f t="shared" si="1"/>
        <v>768.88800000000003</v>
      </c>
      <c r="O37" s="6">
        <f t="shared" si="1"/>
        <v>786.66600000000005</v>
      </c>
      <c r="P37" s="6">
        <f t="shared" si="1"/>
        <v>782.22199999999998</v>
      </c>
      <c r="Q37" s="33">
        <f t="shared" si="2"/>
        <v>779.25866666666661</v>
      </c>
    </row>
    <row r="38" spans="2:17" x14ac:dyDescent="0.25">
      <c r="M38" s="6" t="s">
        <v>59</v>
      </c>
      <c r="N38" s="6">
        <f t="shared" si="1"/>
        <v>797.22199999999998</v>
      </c>
      <c r="O38" s="6">
        <f t="shared" si="1"/>
        <v>240</v>
      </c>
      <c r="P38" s="6">
        <f t="shared" si="1"/>
        <v>171.66600000000003</v>
      </c>
      <c r="Q38" s="33">
        <f t="shared" si="2"/>
        <v>402.96266666666662</v>
      </c>
    </row>
    <row r="39" spans="2:17" x14ac:dyDescent="0.25">
      <c r="M39" s="6" t="s">
        <v>62</v>
      </c>
      <c r="N39" s="6">
        <f t="shared" si="1"/>
        <v>278.88799999999998</v>
      </c>
      <c r="O39" s="6">
        <f t="shared" si="1"/>
        <v>777.22199999999998</v>
      </c>
      <c r="P39" s="6">
        <f t="shared" si="1"/>
        <v>625</v>
      </c>
      <c r="Q39" s="33">
        <f t="shared" si="2"/>
        <v>560.37</v>
      </c>
    </row>
    <row r="40" spans="2:17" x14ac:dyDescent="0.25">
      <c r="B40" s="24" t="s">
        <v>14</v>
      </c>
      <c r="C40" s="24" t="s">
        <v>15</v>
      </c>
      <c r="D40" s="24" t="s">
        <v>16</v>
      </c>
      <c r="E40" s="24" t="s">
        <v>17</v>
      </c>
      <c r="F40" s="25" t="s">
        <v>19</v>
      </c>
      <c r="G40" s="25" t="s">
        <v>20</v>
      </c>
      <c r="H40" s="25" t="s">
        <v>21</v>
      </c>
      <c r="M40" s="6" t="s">
        <v>65</v>
      </c>
      <c r="N40" s="6">
        <f t="shared" si="1"/>
        <v>163.33300000000003</v>
      </c>
      <c r="O40" s="6">
        <f t="shared" si="1"/>
        <v>115.55500000000001</v>
      </c>
      <c r="P40" s="6">
        <f t="shared" si="1"/>
        <v>711.1110000000001</v>
      </c>
      <c r="Q40" s="33">
        <f t="shared" si="2"/>
        <v>329.99966666666671</v>
      </c>
    </row>
    <row r="41" spans="2:17" x14ac:dyDescent="0.25">
      <c r="B41" s="6" t="s">
        <v>57</v>
      </c>
      <c r="C41" s="21">
        <v>719.44399999999996</v>
      </c>
      <c r="D41" s="21">
        <v>666.66600000000005</v>
      </c>
      <c r="E41" s="21">
        <v>750</v>
      </c>
      <c r="F41" s="7">
        <f>SUM(C41:E41)</f>
        <v>2136.11</v>
      </c>
      <c r="G41" s="7">
        <f>AVERAGE(C41:E41)</f>
        <v>712.03666666666675</v>
      </c>
      <c r="H41" s="7">
        <f>_xlfn.STDEV.P(C41:E41)</f>
        <v>34.421798610118472</v>
      </c>
    </row>
    <row r="42" spans="2:17" x14ac:dyDescent="0.25">
      <c r="B42" s="6" t="s">
        <v>60</v>
      </c>
      <c r="C42" s="21">
        <v>783.88800000000003</v>
      </c>
      <c r="D42" s="21">
        <v>664.44399999999996</v>
      </c>
      <c r="E42" s="21">
        <v>800.55499999999995</v>
      </c>
      <c r="F42" s="7">
        <f t="shared" ref="F42:F49" si="3">SUM(C42:E42)</f>
        <v>2248.8869999999997</v>
      </c>
      <c r="G42" s="7">
        <f t="shared" ref="G42:G49" si="4">AVERAGE(C42:E42)</f>
        <v>749.62899999999991</v>
      </c>
      <c r="H42" s="7">
        <f t="shared" ref="H42:H49" si="5">_xlfn.STDEV.P(C42:E42)</f>
        <v>60.617986280201265</v>
      </c>
    </row>
    <row r="43" spans="2:17" x14ac:dyDescent="0.25">
      <c r="B43" s="6" t="s">
        <v>63</v>
      </c>
      <c r="C43" s="21">
        <v>810.55499999999995</v>
      </c>
      <c r="D43" s="21">
        <v>617.22199999999998</v>
      </c>
      <c r="E43" s="21">
        <v>273.33300000000003</v>
      </c>
      <c r="F43" s="7">
        <f t="shared" si="3"/>
        <v>1701.1100000000001</v>
      </c>
      <c r="G43" s="7">
        <f t="shared" si="4"/>
        <v>567.03666666666675</v>
      </c>
      <c r="H43" s="7">
        <f t="shared" si="5"/>
        <v>222.17229812667642</v>
      </c>
    </row>
    <row r="44" spans="2:17" x14ac:dyDescent="0.25">
      <c r="B44" s="6" t="s">
        <v>58</v>
      </c>
      <c r="C44" s="21">
        <v>718.88800000000003</v>
      </c>
      <c r="D44" s="21">
        <v>757.22199999999998</v>
      </c>
      <c r="E44" s="21">
        <v>720</v>
      </c>
      <c r="F44" s="7">
        <f t="shared" si="3"/>
        <v>2196.11</v>
      </c>
      <c r="G44" s="7">
        <f t="shared" si="4"/>
        <v>732.03666666666675</v>
      </c>
      <c r="H44" s="7">
        <f t="shared" si="5"/>
        <v>17.814505275820082</v>
      </c>
    </row>
    <row r="45" spans="2:17" x14ac:dyDescent="0.25">
      <c r="B45" s="6" t="s">
        <v>61</v>
      </c>
      <c r="C45" s="21">
        <v>718.88800000000003</v>
      </c>
      <c r="D45" s="21">
        <v>722.77700000000004</v>
      </c>
      <c r="E45" s="21">
        <v>772.77700000000004</v>
      </c>
      <c r="F45" s="7">
        <f t="shared" si="3"/>
        <v>2214.442</v>
      </c>
      <c r="G45" s="7">
        <f t="shared" si="4"/>
        <v>738.14733333333334</v>
      </c>
      <c r="H45" s="7">
        <f t="shared" si="5"/>
        <v>24.538288996767665</v>
      </c>
    </row>
    <row r="46" spans="2:17" x14ac:dyDescent="0.25">
      <c r="B46" s="6" t="s">
        <v>64</v>
      </c>
      <c r="C46" s="21">
        <v>768.88800000000003</v>
      </c>
      <c r="D46" s="21">
        <v>786.66600000000005</v>
      </c>
      <c r="E46" s="21">
        <v>782.22199999999998</v>
      </c>
      <c r="F46" s="7">
        <f t="shared" si="3"/>
        <v>2337.7759999999998</v>
      </c>
      <c r="G46" s="7">
        <f t="shared" si="4"/>
        <v>779.25866666666661</v>
      </c>
      <c r="H46" s="7">
        <f t="shared" si="5"/>
        <v>7.5542627848270021</v>
      </c>
    </row>
    <row r="47" spans="2:17" x14ac:dyDescent="0.25">
      <c r="B47" s="6" t="s">
        <v>59</v>
      </c>
      <c r="C47" s="21">
        <v>797.22199999999998</v>
      </c>
      <c r="D47" s="21">
        <v>240</v>
      </c>
      <c r="E47" s="21">
        <v>171.666</v>
      </c>
      <c r="F47" s="7">
        <f t="shared" si="3"/>
        <v>1208.8879999999999</v>
      </c>
      <c r="G47" s="7">
        <f t="shared" si="4"/>
        <v>402.96266666666662</v>
      </c>
      <c r="H47" s="7">
        <f t="shared" si="5"/>
        <v>280.17577855022057</v>
      </c>
    </row>
    <row r="48" spans="2:17" x14ac:dyDescent="0.25">
      <c r="B48" s="6" t="s">
        <v>62</v>
      </c>
      <c r="C48" s="21">
        <v>278.88799999999998</v>
      </c>
      <c r="D48" s="21">
        <v>777.22199999999998</v>
      </c>
      <c r="E48" s="21">
        <v>625</v>
      </c>
      <c r="F48" s="7">
        <f t="shared" si="3"/>
        <v>1681.11</v>
      </c>
      <c r="G48" s="7">
        <f t="shared" si="4"/>
        <v>560.37</v>
      </c>
      <c r="H48" s="7">
        <f t="shared" si="5"/>
        <v>208.51374305466467</v>
      </c>
      <c r="J48" t="s">
        <v>23</v>
      </c>
      <c r="K48">
        <v>9</v>
      </c>
    </row>
    <row r="49" spans="2:11" x14ac:dyDescent="0.25">
      <c r="B49" s="6" t="s">
        <v>65</v>
      </c>
      <c r="C49" s="21">
        <v>163.333</v>
      </c>
      <c r="D49" s="21">
        <v>115.55500000000001</v>
      </c>
      <c r="E49" s="21">
        <v>711.11099999999999</v>
      </c>
      <c r="F49" s="7">
        <f t="shared" si="3"/>
        <v>989.99900000000002</v>
      </c>
      <c r="G49" s="7">
        <f t="shared" si="4"/>
        <v>329.99966666666666</v>
      </c>
      <c r="H49" s="7">
        <f t="shared" si="5"/>
        <v>270.19137738195042</v>
      </c>
      <c r="J49" t="s">
        <v>24</v>
      </c>
      <c r="K49">
        <v>3</v>
      </c>
    </row>
    <row r="50" spans="2:11" x14ac:dyDescent="0.25">
      <c r="B50" s="25" t="s">
        <v>19</v>
      </c>
      <c r="C50" s="7">
        <f>SUM(C41:C49)</f>
        <v>5759.9939999999988</v>
      </c>
      <c r="D50" s="7">
        <f>SUM(D41:D49)</f>
        <v>5347.7740000000003</v>
      </c>
      <c r="E50" s="7">
        <f>SUM(E41:E49)</f>
        <v>5606.6639999999998</v>
      </c>
      <c r="F50" s="7">
        <f>SUM(F41:F49)</f>
        <v>16714.432000000001</v>
      </c>
      <c r="G50" s="22"/>
      <c r="H50" s="22"/>
    </row>
    <row r="51" spans="2:11" x14ac:dyDescent="0.25">
      <c r="B51" s="25" t="s">
        <v>22</v>
      </c>
      <c r="C51" s="7">
        <f>AVERAGE(C41:C49)</f>
        <v>639.9993333333332</v>
      </c>
      <c r="D51" s="7">
        <f>AVERAGE(D41:D49)</f>
        <v>594.1971111111111</v>
      </c>
      <c r="E51" s="7">
        <f>AVERAGE(E41:E49)</f>
        <v>622.96266666666668</v>
      </c>
      <c r="F51" s="22"/>
      <c r="G51" s="22"/>
      <c r="H51" s="22"/>
    </row>
    <row r="53" spans="2:11" x14ac:dyDescent="0.25">
      <c r="B53" t="s">
        <v>25</v>
      </c>
      <c r="C53">
        <f>(F50^2)/(K48*K49)</f>
        <v>10347119.891949037</v>
      </c>
      <c r="D53"/>
      <c r="E53"/>
      <c r="F53"/>
      <c r="G53"/>
      <c r="H53"/>
      <c r="I53"/>
    </row>
    <row r="54" spans="2:11" x14ac:dyDescent="0.25">
      <c r="B54" t="s">
        <v>26</v>
      </c>
      <c r="C54">
        <f>SUMSQ(C41:E49)-C53</f>
        <v>1394649.7317629606</v>
      </c>
      <c r="D54"/>
      <c r="E54"/>
      <c r="F54"/>
      <c r="G54"/>
      <c r="H54"/>
      <c r="I54"/>
    </row>
    <row r="55" spans="2:11" x14ac:dyDescent="0.25">
      <c r="B55" t="s">
        <v>27</v>
      </c>
      <c r="C55">
        <f>(((C50^2)+(D50^2)+(E50^2))/9)-C53</f>
        <v>9646.6462740730494</v>
      </c>
      <c r="D55"/>
      <c r="E55"/>
      <c r="F55"/>
      <c r="G55"/>
      <c r="H55"/>
      <c r="I55"/>
    </row>
    <row r="56" spans="2:11" x14ac:dyDescent="0.25">
      <c r="B56" t="s">
        <v>28</v>
      </c>
      <c r="C56">
        <f>(SUMSQ(F41:F49)/3)-C53</f>
        <v>644120.80180229805</v>
      </c>
      <c r="D56"/>
      <c r="E56"/>
      <c r="F56"/>
      <c r="G56"/>
      <c r="H56"/>
      <c r="I56"/>
    </row>
    <row r="57" spans="2:11" x14ac:dyDescent="0.25">
      <c r="B57" t="s">
        <v>29</v>
      </c>
      <c r="C57">
        <f>C54-C55-C56</f>
        <v>740882.28368658945</v>
      </c>
      <c r="D57"/>
      <c r="E57"/>
      <c r="F57"/>
      <c r="G57"/>
      <c r="H57"/>
      <c r="I57"/>
    </row>
    <row r="58" spans="2:11" x14ac:dyDescent="0.25">
      <c r="B58"/>
      <c r="C58"/>
      <c r="D58"/>
      <c r="E58"/>
      <c r="F58"/>
      <c r="G58"/>
      <c r="H58"/>
      <c r="I58"/>
    </row>
    <row r="59" spans="2:11" x14ac:dyDescent="0.25">
      <c r="B59" s="8" t="s">
        <v>30</v>
      </c>
      <c r="C59"/>
      <c r="D59"/>
      <c r="E59"/>
      <c r="F59"/>
      <c r="G59"/>
      <c r="H59"/>
      <c r="I59" s="9"/>
    </row>
    <row r="60" spans="2:11" x14ac:dyDescent="0.25">
      <c r="B60" s="26" t="s">
        <v>31</v>
      </c>
      <c r="C60" s="26" t="s">
        <v>68</v>
      </c>
      <c r="D60" s="26" t="s">
        <v>69</v>
      </c>
      <c r="E60" s="26" t="s">
        <v>70</v>
      </c>
      <c r="F60" s="26" t="s">
        <v>32</v>
      </c>
      <c r="G60" s="26" t="s">
        <v>33</v>
      </c>
      <c r="H60" s="11"/>
      <c r="I60"/>
    </row>
    <row r="61" spans="2:11" x14ac:dyDescent="0.25">
      <c r="B61" s="10" t="s">
        <v>66</v>
      </c>
      <c r="C61" s="2">
        <f>F41</f>
        <v>2136.11</v>
      </c>
      <c r="D61" s="34">
        <f>F42</f>
        <v>2248.8869999999997</v>
      </c>
      <c r="E61" s="2">
        <f>F43</f>
        <v>1701.1100000000001</v>
      </c>
      <c r="F61" s="2">
        <f>SUM(C61:E61)</f>
        <v>6086.107</v>
      </c>
      <c r="G61" s="2">
        <f>AVERAGE(C61:E61)</f>
        <v>2028.7023333333334</v>
      </c>
      <c r="H61" s="12"/>
      <c r="I61"/>
    </row>
    <row r="62" spans="2:11" x14ac:dyDescent="0.25">
      <c r="B62" s="10" t="s">
        <v>67</v>
      </c>
      <c r="C62" s="2">
        <f>F44</f>
        <v>2196.11</v>
      </c>
      <c r="D62" s="2">
        <f>F45</f>
        <v>2214.442</v>
      </c>
      <c r="E62" s="34">
        <f>F46</f>
        <v>2337.7759999999998</v>
      </c>
      <c r="F62" s="2">
        <f>SUM(C62:E62)</f>
        <v>6748.3279999999995</v>
      </c>
      <c r="G62" s="2">
        <f>AVERAGE(C62:E62)</f>
        <v>2249.4426666666664</v>
      </c>
      <c r="H62" s="12"/>
      <c r="I62"/>
    </row>
    <row r="63" spans="2:11" x14ac:dyDescent="0.25">
      <c r="B63" s="10" t="s">
        <v>71</v>
      </c>
      <c r="C63" s="34">
        <f>F47</f>
        <v>1208.8879999999999</v>
      </c>
      <c r="D63" s="2">
        <f>F48</f>
        <v>1681.11</v>
      </c>
      <c r="E63" s="34">
        <f>F49</f>
        <v>989.99900000000002</v>
      </c>
      <c r="F63" s="2">
        <f>SUM(C63:E63)</f>
        <v>3879.9969999999994</v>
      </c>
      <c r="G63" s="2">
        <f>AVERAGE(C63:E63)</f>
        <v>1293.3323333333331</v>
      </c>
      <c r="H63" s="12"/>
      <c r="I63"/>
    </row>
    <row r="64" spans="2:11" x14ac:dyDescent="0.25">
      <c r="B64" s="26" t="s">
        <v>32</v>
      </c>
      <c r="C64" s="2">
        <f>SUM(C61:C63)</f>
        <v>5541.1080000000002</v>
      </c>
      <c r="D64" s="2">
        <f>SUM(D61:D63)</f>
        <v>6144.4389999999994</v>
      </c>
      <c r="E64" s="2">
        <f>SUM(E61:E63)</f>
        <v>5028.8850000000002</v>
      </c>
      <c r="F64" s="2">
        <f>SUM(C64:E64)</f>
        <v>16714.432000000001</v>
      </c>
      <c r="G64" s="23"/>
      <c r="H64" s="12"/>
      <c r="I64"/>
    </row>
    <row r="65" spans="2:9" x14ac:dyDescent="0.25">
      <c r="B65" s="26" t="s">
        <v>33</v>
      </c>
      <c r="C65" s="2">
        <f>AVERAGE(C61:C63)</f>
        <v>1847.0360000000001</v>
      </c>
      <c r="D65" s="2">
        <f>AVERAGE(D61:D63)</f>
        <v>2048.1463333333331</v>
      </c>
      <c r="E65" s="2">
        <f>AVERAGE(E61:E63)</f>
        <v>1676.2950000000001</v>
      </c>
      <c r="F65" s="23"/>
      <c r="G65" s="23"/>
      <c r="H65" s="12"/>
      <c r="I65"/>
    </row>
    <row r="66" spans="2:9" x14ac:dyDescent="0.25">
      <c r="B66"/>
      <c r="C66"/>
      <c r="D66"/>
      <c r="E66"/>
      <c r="F66"/>
      <c r="G66"/>
      <c r="H66"/>
      <c r="I66"/>
    </row>
    <row r="67" spans="2:9" x14ac:dyDescent="0.25">
      <c r="B67"/>
      <c r="C67"/>
      <c r="D67"/>
      <c r="E67"/>
      <c r="F67"/>
      <c r="G67"/>
      <c r="H67"/>
      <c r="I67"/>
    </row>
    <row r="68" spans="2:9" x14ac:dyDescent="0.25">
      <c r="B68" s="11" t="s">
        <v>79</v>
      </c>
      <c r="C68">
        <f>(((F61^2)+(F62^2)+(F63^2))/9)-C53</f>
        <v>501214.10038896091</v>
      </c>
      <c r="D68"/>
      <c r="E68"/>
      <c r="F68"/>
      <c r="G68"/>
      <c r="H68"/>
      <c r="I68"/>
    </row>
    <row r="69" spans="2:9" x14ac:dyDescent="0.25">
      <c r="B69" s="11" t="s">
        <v>80</v>
      </c>
      <c r="C69">
        <f>(((C64^2)+(D64^2)+(E64^2))/9)-C53</f>
        <v>69290.42311874032</v>
      </c>
      <c r="D69"/>
      <c r="E69"/>
      <c r="F69"/>
      <c r="G69"/>
      <c r="H69"/>
      <c r="I69"/>
    </row>
    <row r="70" spans="2:9" x14ac:dyDescent="0.25">
      <c r="B70" s="11" t="s">
        <v>86</v>
      </c>
      <c r="C70">
        <f>C56-C68-C69</f>
        <v>73616.278294596821</v>
      </c>
      <c r="D70"/>
      <c r="E70"/>
      <c r="F70"/>
      <c r="G70"/>
      <c r="H70"/>
      <c r="I70"/>
    </row>
    <row r="71" spans="2:9" x14ac:dyDescent="0.25">
      <c r="B71"/>
      <c r="C71"/>
      <c r="D71"/>
      <c r="E71"/>
      <c r="F71"/>
      <c r="G71"/>
      <c r="H71"/>
      <c r="I71"/>
    </row>
    <row r="72" spans="2:9" x14ac:dyDescent="0.25">
      <c r="B72" s="13" t="s">
        <v>34</v>
      </c>
      <c r="C72" s="14"/>
      <c r="D72" s="15" t="s">
        <v>35</v>
      </c>
      <c r="E72" s="15" t="s">
        <v>36</v>
      </c>
      <c r="F72" s="15" t="s">
        <v>37</v>
      </c>
      <c r="G72" s="15" t="s">
        <v>38</v>
      </c>
      <c r="H72" s="15"/>
      <c r="I72" s="16"/>
    </row>
    <row r="73" spans="2:9" x14ac:dyDescent="0.25">
      <c r="B73" s="36" t="s">
        <v>39</v>
      </c>
      <c r="C73" s="39" t="s">
        <v>40</v>
      </c>
      <c r="D73" s="39" t="s">
        <v>41</v>
      </c>
      <c r="E73" s="39" t="s">
        <v>42</v>
      </c>
      <c r="F73" s="39" t="s">
        <v>43</v>
      </c>
      <c r="G73" s="36" t="s">
        <v>44</v>
      </c>
      <c r="H73" s="38" t="s">
        <v>45</v>
      </c>
      <c r="I73" s="39" t="s">
        <v>46</v>
      </c>
    </row>
    <row r="74" spans="2:9" x14ac:dyDescent="0.25">
      <c r="B74" s="37"/>
      <c r="C74" s="40"/>
      <c r="D74" s="40"/>
      <c r="E74" s="40"/>
      <c r="F74" s="40"/>
      <c r="G74" s="37"/>
      <c r="H74" s="38"/>
      <c r="I74" s="40"/>
    </row>
    <row r="75" spans="2:9" x14ac:dyDescent="0.25">
      <c r="B75" s="17" t="s">
        <v>47</v>
      </c>
      <c r="C75" s="17">
        <f>3-1</f>
        <v>2</v>
      </c>
      <c r="D75" s="18">
        <f>C55</f>
        <v>9646.6462740730494</v>
      </c>
      <c r="E75" s="18">
        <f t="shared" ref="E75:E81" si="6">D75/C75</f>
        <v>4823.3231370365247</v>
      </c>
      <c r="F75" s="18">
        <f>E75/E80</f>
        <v>0.10416387581651292</v>
      </c>
      <c r="G75" s="18">
        <f>FINV(0.05,C75,C80)</f>
        <v>3.6337234675916301</v>
      </c>
      <c r="H75" s="18">
        <f>FINV(0.01,C75,C80)</f>
        <v>6.2262352803113821</v>
      </c>
      <c r="I75" s="17" t="str">
        <f>IF(F75&lt;G75,"tn",IF(F75&lt;H75,"*","**"))</f>
        <v>tn</v>
      </c>
    </row>
    <row r="76" spans="2:9" x14ac:dyDescent="0.25">
      <c r="B76" s="17" t="s">
        <v>48</v>
      </c>
      <c r="C76" s="17">
        <f>9-1</f>
        <v>8</v>
      </c>
      <c r="D76" s="18">
        <f>C56</f>
        <v>644120.80180229805</v>
      </c>
      <c r="E76" s="18">
        <f t="shared" si="6"/>
        <v>80515.100225287257</v>
      </c>
      <c r="F76" s="18">
        <f>E76/E80</f>
        <v>1.7387939109494923</v>
      </c>
      <c r="G76" s="18">
        <f>FINV(0.05,C76,C80)</f>
        <v>2.5910961798744014</v>
      </c>
      <c r="H76" s="18">
        <f>FINV(0.01,C76,C80)</f>
        <v>3.8895721399261927</v>
      </c>
      <c r="I76" s="17" t="str">
        <f>IF(F76&lt;G76,"tn",IF(F76&lt;H76,"*","**"))</f>
        <v>tn</v>
      </c>
    </row>
    <row r="77" spans="2:9" x14ac:dyDescent="0.25">
      <c r="B77" s="17" t="s">
        <v>77</v>
      </c>
      <c r="C77" s="17">
        <v>2</v>
      </c>
      <c r="D77" s="18">
        <f>C68</f>
        <v>501214.10038896091</v>
      </c>
      <c r="E77" s="18">
        <f t="shared" si="6"/>
        <v>250607.05019448046</v>
      </c>
      <c r="F77" s="18">
        <f>E77/E80</f>
        <v>5.4120781282008492</v>
      </c>
      <c r="G77" s="18">
        <f>FINV(0.05,C77,C80)</f>
        <v>3.6337234675916301</v>
      </c>
      <c r="H77" s="18">
        <f>FINV(0.01,C77,C80)</f>
        <v>6.2262352803113821</v>
      </c>
      <c r="I77" s="17" t="str">
        <f>IF(F77&lt;G77,"tn",IF(F77&lt;H77,"*","**"))</f>
        <v>*</v>
      </c>
    </row>
    <row r="78" spans="2:9" x14ac:dyDescent="0.25">
      <c r="B78" s="17" t="s">
        <v>76</v>
      </c>
      <c r="C78" s="17">
        <v>2</v>
      </c>
      <c r="D78" s="18">
        <f>C69</f>
        <v>69290.42311874032</v>
      </c>
      <c r="E78" s="18">
        <f t="shared" si="6"/>
        <v>34645.21155937016</v>
      </c>
      <c r="F78" s="18">
        <f>E78/E80</f>
        <v>0.74819360262151213</v>
      </c>
      <c r="G78" s="18">
        <f>FINV(0.05,C78,C80)</f>
        <v>3.6337234675916301</v>
      </c>
      <c r="H78" s="18">
        <f>FINV(0.01,C78,C80)</f>
        <v>6.2262352803113821</v>
      </c>
      <c r="I78" s="17" t="str">
        <f>IF(F78&lt;G78,"tn",IF(F78&lt;H78,"*","**"))</f>
        <v>tn</v>
      </c>
    </row>
    <row r="79" spans="2:9" x14ac:dyDescent="0.25">
      <c r="B79" s="17" t="s">
        <v>78</v>
      </c>
      <c r="C79" s="17">
        <f>C77*C78</f>
        <v>4</v>
      </c>
      <c r="D79" s="18">
        <f>C70</f>
        <v>73616.278294596821</v>
      </c>
      <c r="E79" s="18">
        <f t="shared" si="6"/>
        <v>18404.069573649205</v>
      </c>
      <c r="F79" s="18">
        <f>E79/E80</f>
        <v>0.39745195648780413</v>
      </c>
      <c r="G79" s="18">
        <f>FINV(0.05,C79,C80)</f>
        <v>3.0069172799243447</v>
      </c>
      <c r="H79" s="18">
        <f>FINV(0.01,C79,C80)</f>
        <v>4.772577999723211</v>
      </c>
      <c r="I79" s="17" t="str">
        <f>IF(F79&lt;G79,"tn",IF(F79&lt;H79,"*","**"))</f>
        <v>tn</v>
      </c>
    </row>
    <row r="80" spans="2:9" x14ac:dyDescent="0.25">
      <c r="B80" s="17" t="s">
        <v>49</v>
      </c>
      <c r="C80" s="17">
        <f>(3-1)*(9-1)</f>
        <v>16</v>
      </c>
      <c r="D80" s="18">
        <f>C57</f>
        <v>740882.28368658945</v>
      </c>
      <c r="E80" s="18">
        <f t="shared" si="6"/>
        <v>46305.142730411841</v>
      </c>
      <c r="F80" s="30"/>
      <c r="G80" s="30"/>
      <c r="H80" s="30"/>
      <c r="I80" s="31"/>
    </row>
    <row r="81" spans="1:9" x14ac:dyDescent="0.25">
      <c r="B81" s="17" t="s">
        <v>50</v>
      </c>
      <c r="C81" s="17">
        <f>C75+C76+C80</f>
        <v>26</v>
      </c>
      <c r="D81" s="18">
        <f>C54</f>
        <v>1394649.7317629606</v>
      </c>
      <c r="E81" s="18">
        <f t="shared" si="6"/>
        <v>53640.374298575407</v>
      </c>
      <c r="F81" s="30"/>
      <c r="G81" s="30"/>
      <c r="H81" s="30"/>
      <c r="I81" s="31"/>
    </row>
    <row r="83" spans="1:9" x14ac:dyDescent="0.25">
      <c r="B83" s="13" t="s">
        <v>51</v>
      </c>
      <c r="C83"/>
      <c r="D83"/>
      <c r="E83"/>
      <c r="F83"/>
      <c r="G83"/>
      <c r="H83"/>
      <c r="I83"/>
    </row>
    <row r="84" spans="1:9" x14ac:dyDescent="0.25">
      <c r="B84" s="14" t="s">
        <v>52</v>
      </c>
      <c r="C84">
        <f>5.03*(SQRT(E80/3))</f>
        <v>624.91647060703963</v>
      </c>
      <c r="D84"/>
      <c r="E84"/>
      <c r="F84"/>
      <c r="G84"/>
      <c r="H84"/>
      <c r="I84"/>
    </row>
    <row r="85" spans="1:9" x14ac:dyDescent="0.25">
      <c r="B85" s="19"/>
      <c r="C85"/>
      <c r="D85" s="20"/>
      <c r="E85"/>
      <c r="F85"/>
      <c r="G85"/>
      <c r="H85"/>
      <c r="I85"/>
    </row>
    <row r="86" spans="1:9" x14ac:dyDescent="0.25">
      <c r="B86"/>
      <c r="C86"/>
      <c r="D86"/>
      <c r="E86"/>
      <c r="F86"/>
      <c r="G86"/>
      <c r="H86"/>
      <c r="I86"/>
    </row>
    <row r="87" spans="1:9" x14ac:dyDescent="0.25">
      <c r="A87" s="1" t="s">
        <v>71</v>
      </c>
      <c r="B87" s="35">
        <v>1293.33</v>
      </c>
      <c r="C87" s="1" t="s">
        <v>54</v>
      </c>
      <c r="D87" s="35">
        <f>B87+C84</f>
        <v>1918.2464706070396</v>
      </c>
      <c r="E87" s="35"/>
    </row>
    <row r="88" spans="1:9" x14ac:dyDescent="0.25">
      <c r="A88" s="1" t="s">
        <v>66</v>
      </c>
      <c r="B88" s="35">
        <v>2028.7</v>
      </c>
      <c r="C88" s="1" t="s">
        <v>55</v>
      </c>
      <c r="D88" s="35">
        <f>B88+C84</f>
        <v>2653.6164706070394</v>
      </c>
      <c r="E88" s="35">
        <f>B88-C84</f>
        <v>1403.7835293929604</v>
      </c>
    </row>
    <row r="89" spans="1:9" x14ac:dyDescent="0.25">
      <c r="A89" s="1" t="s">
        <v>67</v>
      </c>
      <c r="B89" s="35">
        <v>2249.44</v>
      </c>
      <c r="C89" s="1" t="s">
        <v>55</v>
      </c>
    </row>
    <row r="91" spans="1:9" x14ac:dyDescent="0.25">
      <c r="B91" s="13" t="s">
        <v>51</v>
      </c>
      <c r="C91"/>
    </row>
    <row r="92" spans="1:9" x14ac:dyDescent="0.25">
      <c r="B92" s="14" t="s">
        <v>52</v>
      </c>
      <c r="C92">
        <f>5.03*(SQRT(E88/3))</f>
        <v>108.80714850722256</v>
      </c>
    </row>
  </sheetData>
  <mergeCells count="9">
    <mergeCell ref="G73:G74"/>
    <mergeCell ref="H73:H74"/>
    <mergeCell ref="I73:I74"/>
    <mergeCell ref="B2:C2"/>
    <mergeCell ref="B73:B74"/>
    <mergeCell ref="C73:C74"/>
    <mergeCell ref="D73:D74"/>
    <mergeCell ref="E73:E74"/>
    <mergeCell ref="F73:F7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92"/>
  <sheetViews>
    <sheetView topLeftCell="A63" zoomScale="73" zoomScaleNormal="73" workbookViewId="0">
      <selection activeCell="D13" sqref="D13"/>
    </sheetView>
  </sheetViews>
  <sheetFormatPr defaultColWidth="9.140625" defaultRowHeight="15.75" x14ac:dyDescent="0.25"/>
  <cols>
    <col min="1" max="1" width="9.140625" style="1"/>
    <col min="2" max="2" width="24.85546875" style="1" customWidth="1"/>
    <col min="3" max="3" width="20.140625" style="1" customWidth="1"/>
    <col min="4" max="4" width="14.5703125" style="1" customWidth="1"/>
    <col min="5" max="5" width="16.140625" style="1" customWidth="1"/>
    <col min="6" max="6" width="10.28515625" style="1" bestFit="1" customWidth="1"/>
    <col min="7" max="7" width="10.140625" style="1" customWidth="1"/>
    <col min="8" max="8" width="18.7109375" style="1" customWidth="1"/>
    <col min="9" max="9" width="17.42578125" style="1" customWidth="1"/>
    <col min="10" max="10" width="10.7109375" style="1" customWidth="1"/>
    <col min="11" max="16384" width="9.140625" style="1"/>
  </cols>
  <sheetData>
    <row r="2" spans="2:3" x14ac:dyDescent="0.25">
      <c r="B2" s="41" t="s">
        <v>0</v>
      </c>
      <c r="C2" s="41"/>
    </row>
    <row r="4" spans="2:3" ht="15.75" customHeight="1" x14ac:dyDescent="0.25">
      <c r="B4" s="29" t="s">
        <v>1</v>
      </c>
      <c r="C4" s="29" t="s">
        <v>2</v>
      </c>
    </row>
    <row r="5" spans="2:3" x14ac:dyDescent="0.25">
      <c r="B5" s="2">
        <v>0</v>
      </c>
      <c r="C5" s="2">
        <v>1.9259999999999999</v>
      </c>
    </row>
    <row r="6" spans="2:3" x14ac:dyDescent="0.25">
      <c r="B6" s="2">
        <v>50</v>
      </c>
      <c r="C6" s="2">
        <v>1.8260000000000001</v>
      </c>
    </row>
    <row r="7" spans="2:3" x14ac:dyDescent="0.25">
      <c r="B7" s="2">
        <v>100</v>
      </c>
      <c r="C7" s="2">
        <v>1.7010000000000001</v>
      </c>
    </row>
    <row r="8" spans="2:3" x14ac:dyDescent="0.25">
      <c r="B8" s="2">
        <v>150</v>
      </c>
      <c r="C8" s="2">
        <v>1.6259999999999999</v>
      </c>
    </row>
    <row r="9" spans="2:3" x14ac:dyDescent="0.25">
      <c r="B9" s="2">
        <v>200</v>
      </c>
      <c r="C9" s="2">
        <v>1.5589999999999999</v>
      </c>
    </row>
    <row r="10" spans="2:3" x14ac:dyDescent="0.25">
      <c r="B10" s="2">
        <v>250</v>
      </c>
      <c r="C10" s="2">
        <v>1.46</v>
      </c>
    </row>
    <row r="17" spans="2:10" x14ac:dyDescent="0.25">
      <c r="G17" s="1" t="s">
        <v>18</v>
      </c>
    </row>
    <row r="18" spans="2:10" x14ac:dyDescent="0.25">
      <c r="B18" s="24" t="s">
        <v>14</v>
      </c>
      <c r="C18" s="24" t="s">
        <v>15</v>
      </c>
      <c r="D18" s="24" t="s">
        <v>16</v>
      </c>
      <c r="E18" s="24" t="s">
        <v>17</v>
      </c>
      <c r="G18" s="24" t="s">
        <v>14</v>
      </c>
      <c r="H18" s="24" t="s">
        <v>15</v>
      </c>
      <c r="I18" s="24" t="s">
        <v>16</v>
      </c>
      <c r="J18" s="24" t="s">
        <v>17</v>
      </c>
    </row>
    <row r="19" spans="2:10" x14ac:dyDescent="0.25">
      <c r="B19" s="6" t="s">
        <v>57</v>
      </c>
      <c r="C19" s="6">
        <v>0.62</v>
      </c>
      <c r="D19" s="6">
        <v>1.3080000000000001</v>
      </c>
      <c r="E19" s="6">
        <v>1.347</v>
      </c>
      <c r="F19" s="3"/>
      <c r="G19" s="6" t="s">
        <v>57</v>
      </c>
      <c r="H19" s="6">
        <v>717.77700000000004</v>
      </c>
      <c r="I19" s="6">
        <v>335.55500000000001</v>
      </c>
      <c r="J19" s="6">
        <v>313.88799999999998</v>
      </c>
    </row>
    <row r="20" spans="2:10" x14ac:dyDescent="0.25">
      <c r="B20" s="6" t="s">
        <v>58</v>
      </c>
      <c r="C20" s="6">
        <v>1.472</v>
      </c>
      <c r="D20" s="6">
        <v>1.45</v>
      </c>
      <c r="E20" s="6">
        <v>1.4810000000000001</v>
      </c>
      <c r="G20" s="6" t="s">
        <v>58</v>
      </c>
      <c r="H20" s="6">
        <v>244.44399999999999</v>
      </c>
      <c r="I20" s="6">
        <v>256.666</v>
      </c>
      <c r="J20" s="6">
        <v>239.44399999999999</v>
      </c>
    </row>
    <row r="21" spans="2:10" x14ac:dyDescent="0.25">
      <c r="B21" s="6" t="s">
        <v>59</v>
      </c>
      <c r="C21" s="6">
        <v>1.6539999999999999</v>
      </c>
      <c r="D21" s="6">
        <v>0.61599999999999999</v>
      </c>
      <c r="E21" s="6">
        <v>0.73699999999999999</v>
      </c>
      <c r="G21" s="6" t="s">
        <v>59</v>
      </c>
      <c r="H21" s="6">
        <v>143.333</v>
      </c>
      <c r="I21" s="6">
        <v>720</v>
      </c>
      <c r="J21" s="6">
        <v>652.77700000000004</v>
      </c>
    </row>
    <row r="22" spans="2:10" x14ac:dyDescent="0.25">
      <c r="B22" s="6" t="s">
        <v>60</v>
      </c>
      <c r="C22" s="6">
        <v>1.3560000000000001</v>
      </c>
      <c r="D22" s="6">
        <v>1.36</v>
      </c>
      <c r="E22" s="6">
        <v>1.371</v>
      </c>
      <c r="G22" s="6" t="s">
        <v>60</v>
      </c>
      <c r="H22" s="6">
        <v>308.88799999999998</v>
      </c>
      <c r="I22" s="6">
        <v>306.666</v>
      </c>
      <c r="J22" s="6">
        <v>300.55500000000001</v>
      </c>
    </row>
    <row r="23" spans="2:10" x14ac:dyDescent="0.25">
      <c r="B23" s="6" t="s">
        <v>61</v>
      </c>
      <c r="C23" s="6">
        <v>1.4710000000000001</v>
      </c>
      <c r="D23" s="6">
        <v>1.216</v>
      </c>
      <c r="E23" s="6">
        <v>1.444</v>
      </c>
      <c r="G23" s="6" t="s">
        <v>61</v>
      </c>
      <c r="H23" s="6">
        <v>245</v>
      </c>
      <c r="I23" s="6">
        <v>386.666</v>
      </c>
      <c r="J23" s="6">
        <v>260</v>
      </c>
    </row>
    <row r="24" spans="2:10" x14ac:dyDescent="0.25">
      <c r="B24" s="6" t="s">
        <v>62</v>
      </c>
      <c r="C24" s="6">
        <v>0.66300000000000003</v>
      </c>
      <c r="D24" s="6">
        <v>0.77400000000000002</v>
      </c>
      <c r="E24" s="6">
        <v>0.81</v>
      </c>
      <c r="G24" s="6" t="s">
        <v>62</v>
      </c>
      <c r="H24" s="6">
        <v>693.88800000000003</v>
      </c>
      <c r="I24" s="6">
        <v>632.22199999999998</v>
      </c>
      <c r="J24" s="6">
        <v>612.22199999999998</v>
      </c>
    </row>
    <row r="25" spans="2:10" x14ac:dyDescent="0.25">
      <c r="B25" s="6" t="s">
        <v>63</v>
      </c>
      <c r="C25" s="6">
        <v>1.6</v>
      </c>
      <c r="D25" s="6">
        <v>0.82699999999999996</v>
      </c>
      <c r="E25" s="6">
        <v>1.5629999999999999</v>
      </c>
      <c r="G25" s="6" t="s">
        <v>63</v>
      </c>
      <c r="H25" s="6">
        <v>173.333</v>
      </c>
      <c r="I25" s="6">
        <v>602.77700000000004</v>
      </c>
      <c r="J25" s="6">
        <v>193.88800000000001</v>
      </c>
    </row>
    <row r="26" spans="2:10" x14ac:dyDescent="0.25">
      <c r="B26" s="6" t="s">
        <v>64</v>
      </c>
      <c r="C26" s="6">
        <v>1.538</v>
      </c>
      <c r="D26" s="6">
        <v>1.579</v>
      </c>
      <c r="E26" s="6">
        <v>0.66</v>
      </c>
      <c r="F26" s="4"/>
      <c r="G26" s="6" t="s">
        <v>64</v>
      </c>
      <c r="H26" s="6">
        <v>207.77699999999999</v>
      </c>
      <c r="I26" s="6">
        <v>185</v>
      </c>
      <c r="J26" s="6">
        <v>695.55499999999995</v>
      </c>
    </row>
    <row r="27" spans="2:10" x14ac:dyDescent="0.25">
      <c r="B27" s="6" t="s">
        <v>65</v>
      </c>
      <c r="C27" s="6">
        <v>0.77500000000000002</v>
      </c>
      <c r="D27" s="6">
        <v>0.7</v>
      </c>
      <c r="E27" s="6">
        <v>0.73899999999999999</v>
      </c>
      <c r="G27" s="6" t="s">
        <v>65</v>
      </c>
      <c r="H27" s="6">
        <v>631.66600000000005</v>
      </c>
      <c r="I27" s="6">
        <v>673.33299999999997</v>
      </c>
      <c r="J27" s="6">
        <v>651.66600000000005</v>
      </c>
    </row>
    <row r="28" spans="2:10" x14ac:dyDescent="0.25">
      <c r="D28"/>
      <c r="E28"/>
    </row>
    <row r="30" spans="2:10" x14ac:dyDescent="0.25">
      <c r="B30" s="3" t="s">
        <v>3</v>
      </c>
      <c r="D30" s="5">
        <v>0.73899999999999999</v>
      </c>
    </row>
    <row r="31" spans="2:10" x14ac:dyDescent="0.25">
      <c r="B31" s="1" t="s">
        <v>4</v>
      </c>
      <c r="C31" s="4" t="s">
        <v>5</v>
      </c>
      <c r="D31" s="1">
        <v>-1.8E-3</v>
      </c>
      <c r="E31" s="1" t="s">
        <v>6</v>
      </c>
      <c r="F31" s="4" t="s">
        <v>7</v>
      </c>
      <c r="G31" s="1">
        <v>1.9119999999999999</v>
      </c>
    </row>
    <row r="32" spans="2:10" x14ac:dyDescent="0.25">
      <c r="B32" s="1">
        <f>D30</f>
        <v>0.73899999999999999</v>
      </c>
      <c r="C32" s="4" t="s">
        <v>5</v>
      </c>
      <c r="D32" s="1">
        <f>D31</f>
        <v>-1.8E-3</v>
      </c>
      <c r="E32" s="1" t="s">
        <v>6</v>
      </c>
      <c r="F32" s="4" t="s">
        <v>7</v>
      </c>
      <c r="G32" s="1">
        <f>G31</f>
        <v>1.9119999999999999</v>
      </c>
    </row>
    <row r="33" spans="2:12" x14ac:dyDescent="0.25">
      <c r="B33" s="1" t="s">
        <v>8</v>
      </c>
      <c r="C33" s="4" t="s">
        <v>5</v>
      </c>
      <c r="D33" s="3">
        <f>(B32-G32)/D31</f>
        <v>651.66666666666674</v>
      </c>
      <c r="E33" s="1" t="s">
        <v>9</v>
      </c>
      <c r="L33" s="1" t="s">
        <v>56</v>
      </c>
    </row>
    <row r="35" spans="2:12" x14ac:dyDescent="0.25">
      <c r="B35" s="27" t="s">
        <v>10</v>
      </c>
      <c r="C35" s="27"/>
      <c r="D35" s="28"/>
    </row>
    <row r="36" spans="2:12" x14ac:dyDescent="0.25">
      <c r="B36" s="27" t="s">
        <v>11</v>
      </c>
      <c r="C36" s="27" t="s">
        <v>12</v>
      </c>
      <c r="D36" s="27"/>
    </row>
    <row r="37" spans="2:12" x14ac:dyDescent="0.25">
      <c r="B37" s="4" t="s">
        <v>5</v>
      </c>
      <c r="C37" s="28">
        <f>(D33*0.15)/0.15</f>
        <v>651.66666666666674</v>
      </c>
      <c r="D37" s="28" t="s">
        <v>13</v>
      </c>
    </row>
    <row r="39" spans="2:12" x14ac:dyDescent="0.25">
      <c r="B39" s="1" t="s">
        <v>18</v>
      </c>
    </row>
    <row r="40" spans="2:12" x14ac:dyDescent="0.25">
      <c r="B40" s="24" t="s">
        <v>14</v>
      </c>
      <c r="C40" s="24" t="s">
        <v>15</v>
      </c>
      <c r="D40" s="24" t="s">
        <v>16</v>
      </c>
      <c r="E40" s="24" t="s">
        <v>17</v>
      </c>
      <c r="F40" s="25" t="s">
        <v>19</v>
      </c>
      <c r="G40" s="25" t="s">
        <v>20</v>
      </c>
      <c r="H40" s="25" t="s">
        <v>21</v>
      </c>
    </row>
    <row r="41" spans="2:12" x14ac:dyDescent="0.25">
      <c r="B41" s="6" t="s">
        <v>57</v>
      </c>
      <c r="C41" s="21">
        <v>717.77700000000004</v>
      </c>
      <c r="D41" s="21">
        <v>335.55500000000001</v>
      </c>
      <c r="E41" s="21">
        <v>313.88799999999998</v>
      </c>
      <c r="F41" s="7">
        <f>SUM(C41:E41)</f>
        <v>1367.22</v>
      </c>
      <c r="G41" s="7">
        <f>AVERAGE(C41:E41)</f>
        <v>455.74</v>
      </c>
      <c r="H41" s="7">
        <f>_xlfn.STDEV.P(C41:E41)</f>
        <v>185.499158576708</v>
      </c>
    </row>
    <row r="42" spans="2:12" x14ac:dyDescent="0.25">
      <c r="B42" s="6" t="s">
        <v>58</v>
      </c>
      <c r="C42" s="21">
        <v>244.44399999999999</v>
      </c>
      <c r="D42" s="21">
        <v>256.666</v>
      </c>
      <c r="E42" s="21">
        <v>239.44399999999999</v>
      </c>
      <c r="F42" s="7">
        <f t="shared" ref="F42:F49" si="0">SUM(C42:E42)</f>
        <v>740.55399999999997</v>
      </c>
      <c r="G42" s="7">
        <f t="shared" ref="G42:G49" si="1">AVERAGE(C42:E42)</f>
        <v>246.85133333333332</v>
      </c>
      <c r="H42" s="7">
        <f t="shared" ref="H42:H49" si="2">_xlfn.STDEV.P(C42:E42)</f>
        <v>7.2339828279831853</v>
      </c>
    </row>
    <row r="43" spans="2:12" x14ac:dyDescent="0.25">
      <c r="B43" s="6" t="s">
        <v>59</v>
      </c>
      <c r="C43" s="21">
        <v>143.333</v>
      </c>
      <c r="D43" s="21">
        <v>720</v>
      </c>
      <c r="E43" s="21">
        <v>652.77700000000004</v>
      </c>
      <c r="F43" s="7">
        <f t="shared" si="0"/>
        <v>1516.1100000000001</v>
      </c>
      <c r="G43" s="7">
        <f t="shared" si="1"/>
        <v>505.37000000000006</v>
      </c>
      <c r="H43" s="7">
        <f t="shared" si="2"/>
        <v>257.46562872093557</v>
      </c>
    </row>
    <row r="44" spans="2:12" x14ac:dyDescent="0.25">
      <c r="B44" s="6" t="s">
        <v>60</v>
      </c>
      <c r="C44" s="21">
        <v>308.88799999999998</v>
      </c>
      <c r="D44" s="21">
        <v>306.666</v>
      </c>
      <c r="E44" s="21">
        <v>300.55500000000001</v>
      </c>
      <c r="F44" s="7">
        <f t="shared" si="0"/>
        <v>916.10899999999992</v>
      </c>
      <c r="G44" s="7">
        <f t="shared" si="1"/>
        <v>305.36966666666666</v>
      </c>
      <c r="H44" s="7">
        <f t="shared" si="2"/>
        <v>3.5232638592961134</v>
      </c>
    </row>
    <row r="45" spans="2:12" x14ac:dyDescent="0.25">
      <c r="B45" s="6" t="s">
        <v>61</v>
      </c>
      <c r="C45" s="21">
        <v>337.94099999999997</v>
      </c>
      <c r="D45" s="21">
        <v>319.11799999999999</v>
      </c>
      <c r="E45" s="21">
        <v>336.76499999999999</v>
      </c>
      <c r="F45" s="7">
        <f t="shared" si="0"/>
        <v>993.82399999999996</v>
      </c>
      <c r="G45" s="7">
        <f t="shared" si="1"/>
        <v>331.27466666666663</v>
      </c>
      <c r="H45" s="7">
        <f t="shared" si="2"/>
        <v>8.6094580678589807</v>
      </c>
    </row>
    <row r="46" spans="2:12" x14ac:dyDescent="0.25">
      <c r="B46" s="6" t="s">
        <v>62</v>
      </c>
      <c r="C46" s="21">
        <v>693.88800000000003</v>
      </c>
      <c r="D46" s="21">
        <v>632.22199999999998</v>
      </c>
      <c r="E46" s="21">
        <v>612.22199999999998</v>
      </c>
      <c r="F46" s="7">
        <f t="shared" si="0"/>
        <v>1938.3320000000001</v>
      </c>
      <c r="G46" s="7">
        <f t="shared" si="1"/>
        <v>646.1106666666667</v>
      </c>
      <c r="H46" s="7">
        <f t="shared" si="2"/>
        <v>34.756344124330603</v>
      </c>
    </row>
    <row r="47" spans="2:12" x14ac:dyDescent="0.25">
      <c r="B47" s="6" t="s">
        <v>63</v>
      </c>
      <c r="C47" s="21">
        <v>173.333</v>
      </c>
      <c r="D47" s="21">
        <v>602.77700000000004</v>
      </c>
      <c r="E47" s="21">
        <v>193.88800000000001</v>
      </c>
      <c r="F47" s="7">
        <f t="shared" si="0"/>
        <v>969.99800000000005</v>
      </c>
      <c r="G47" s="7">
        <f t="shared" si="1"/>
        <v>323.33266666666668</v>
      </c>
      <c r="H47" s="7">
        <f t="shared" si="2"/>
        <v>197.77508872510265</v>
      </c>
    </row>
    <row r="48" spans="2:12" x14ac:dyDescent="0.25">
      <c r="B48" s="6" t="s">
        <v>64</v>
      </c>
      <c r="C48" s="21">
        <v>207.77699999999999</v>
      </c>
      <c r="D48" s="21">
        <v>185</v>
      </c>
      <c r="E48" s="21">
        <v>695.55499999999995</v>
      </c>
      <c r="F48" s="7">
        <f t="shared" si="0"/>
        <v>1088.3319999999999</v>
      </c>
      <c r="G48" s="7">
        <f t="shared" si="1"/>
        <v>362.77733333333327</v>
      </c>
      <c r="H48" s="7">
        <f t="shared" si="2"/>
        <v>235.49299990492756</v>
      </c>
      <c r="J48" t="s">
        <v>23</v>
      </c>
      <c r="K48">
        <v>9</v>
      </c>
    </row>
    <row r="49" spans="2:11" x14ac:dyDescent="0.25">
      <c r="B49" s="6" t="s">
        <v>65</v>
      </c>
      <c r="C49" s="21">
        <v>631.66600000000005</v>
      </c>
      <c r="D49" s="21">
        <v>673.33299999999997</v>
      </c>
      <c r="E49" s="21">
        <v>651.66600000000005</v>
      </c>
      <c r="F49" s="7">
        <f t="shared" si="0"/>
        <v>1956.665</v>
      </c>
      <c r="G49" s="7">
        <f t="shared" si="1"/>
        <v>652.22166666666669</v>
      </c>
      <c r="H49" s="7">
        <f t="shared" si="2"/>
        <v>17.015018784069003</v>
      </c>
      <c r="J49" t="s">
        <v>24</v>
      </c>
      <c r="K49">
        <v>3</v>
      </c>
    </row>
    <row r="50" spans="2:11" x14ac:dyDescent="0.25">
      <c r="B50" s="25" t="s">
        <v>19</v>
      </c>
      <c r="C50" s="7">
        <f>SUM(C41:C49)</f>
        <v>3459.0470000000005</v>
      </c>
      <c r="D50" s="7">
        <f>SUM(D41:D49)</f>
        <v>4031.337</v>
      </c>
      <c r="E50" s="7">
        <f>SUM(E41:E49)</f>
        <v>3996.7599999999998</v>
      </c>
      <c r="F50" s="7">
        <f>SUM(F41:F49)</f>
        <v>11487.144</v>
      </c>
      <c r="G50" s="22"/>
      <c r="H50" s="22"/>
    </row>
    <row r="51" spans="2:11" x14ac:dyDescent="0.25">
      <c r="B51" s="25" t="s">
        <v>22</v>
      </c>
      <c r="C51" s="7">
        <f>AVERAGE(C41:C49)</f>
        <v>384.33855555555562</v>
      </c>
      <c r="D51" s="7">
        <f>AVERAGE(D41:D49)</f>
        <v>447.92633333333333</v>
      </c>
      <c r="E51" s="7">
        <f>AVERAGE(E41:E49)</f>
        <v>444.08444444444444</v>
      </c>
      <c r="F51" s="22"/>
      <c r="G51" s="22"/>
      <c r="H51" s="22"/>
    </row>
    <row r="53" spans="2:11" x14ac:dyDescent="0.25">
      <c r="B53" t="s">
        <v>25</v>
      </c>
      <c r="C53">
        <f>(F50^2)/(K48*K49)</f>
        <v>4887202.8621013332</v>
      </c>
      <c r="D53"/>
      <c r="E53"/>
      <c r="F53"/>
      <c r="G53"/>
      <c r="H53"/>
      <c r="I53"/>
    </row>
    <row r="54" spans="2:11" x14ac:dyDescent="0.25">
      <c r="B54" t="s">
        <v>26</v>
      </c>
      <c r="C54">
        <f>SUMSQ(C41:E49)-C53</f>
        <v>1121608.7794266669</v>
      </c>
      <c r="D54"/>
      <c r="E54"/>
      <c r="F54"/>
      <c r="G54"/>
      <c r="H54"/>
      <c r="I54"/>
    </row>
    <row r="55" spans="2:11" x14ac:dyDescent="0.25">
      <c r="B55" t="s">
        <v>27</v>
      </c>
      <c r="C55">
        <f>(((C50^2)+(D50^2)+(E50^2))/9)-C53</f>
        <v>22883.2104962226</v>
      </c>
      <c r="D55"/>
      <c r="E55"/>
      <c r="F55"/>
      <c r="G55"/>
      <c r="H55"/>
      <c r="I55"/>
    </row>
    <row r="56" spans="2:11" x14ac:dyDescent="0.25">
      <c r="B56" t="s">
        <v>28</v>
      </c>
      <c r="C56">
        <f>(SUMSQ(F41:F49)/3)-C53</f>
        <v>530888.35688200034</v>
      </c>
      <c r="D56"/>
      <c r="E56"/>
      <c r="F56"/>
      <c r="G56"/>
      <c r="H56"/>
      <c r="I56"/>
    </row>
    <row r="57" spans="2:11" x14ac:dyDescent="0.25">
      <c r="B57" t="s">
        <v>29</v>
      </c>
      <c r="C57">
        <f>C54-C55-C56</f>
        <v>567837.21204844397</v>
      </c>
      <c r="D57"/>
      <c r="E57"/>
      <c r="F57"/>
      <c r="G57"/>
      <c r="H57"/>
      <c r="I57"/>
    </row>
    <row r="58" spans="2:11" x14ac:dyDescent="0.25">
      <c r="B58"/>
      <c r="C58"/>
      <c r="D58"/>
      <c r="E58"/>
      <c r="F58"/>
      <c r="G58"/>
      <c r="H58"/>
      <c r="I58"/>
    </row>
    <row r="59" spans="2:11" x14ac:dyDescent="0.25">
      <c r="B59" s="8" t="s">
        <v>30</v>
      </c>
      <c r="C59"/>
      <c r="D59"/>
      <c r="E59"/>
      <c r="F59"/>
      <c r="G59"/>
      <c r="H59"/>
      <c r="I59" s="9"/>
    </row>
    <row r="60" spans="2:11" x14ac:dyDescent="0.25">
      <c r="B60" s="26" t="s">
        <v>31</v>
      </c>
      <c r="C60" s="26" t="s">
        <v>66</v>
      </c>
      <c r="D60" s="26" t="s">
        <v>67</v>
      </c>
      <c r="E60" s="26" t="s">
        <v>71</v>
      </c>
      <c r="F60" s="26" t="s">
        <v>32</v>
      </c>
      <c r="G60" s="26" t="s">
        <v>33</v>
      </c>
      <c r="H60" s="11"/>
      <c r="I60"/>
    </row>
    <row r="61" spans="2:11" x14ac:dyDescent="0.25">
      <c r="B61" s="10" t="s">
        <v>68</v>
      </c>
      <c r="C61" s="2">
        <f>F41</f>
        <v>1367.22</v>
      </c>
      <c r="D61" s="2">
        <f>F42</f>
        <v>740.55399999999997</v>
      </c>
      <c r="E61" s="2">
        <f>F43</f>
        <v>1516.1100000000001</v>
      </c>
      <c r="F61" s="2">
        <f>SUM(C61:E61)</f>
        <v>3623.884</v>
      </c>
      <c r="G61" s="2">
        <f>AVERAGE(C61:E61)</f>
        <v>1207.9613333333334</v>
      </c>
      <c r="H61" s="12"/>
      <c r="I61"/>
    </row>
    <row r="62" spans="2:11" x14ac:dyDescent="0.25">
      <c r="B62" s="10" t="s">
        <v>69</v>
      </c>
      <c r="C62" s="2">
        <f>F44</f>
        <v>916.10899999999992</v>
      </c>
      <c r="D62" s="2">
        <f>F45</f>
        <v>993.82399999999996</v>
      </c>
      <c r="E62" s="2">
        <f>F46</f>
        <v>1938.3320000000001</v>
      </c>
      <c r="F62" s="2">
        <f>SUM(C62:E62)</f>
        <v>3848.2650000000003</v>
      </c>
      <c r="G62" s="2">
        <f>AVERAGE(C62:E62)</f>
        <v>1282.7550000000001</v>
      </c>
      <c r="H62" s="12"/>
      <c r="I62"/>
    </row>
    <row r="63" spans="2:11" x14ac:dyDescent="0.25">
      <c r="B63" s="10" t="s">
        <v>70</v>
      </c>
      <c r="C63" s="2">
        <f>F47</f>
        <v>969.99800000000005</v>
      </c>
      <c r="D63" s="2">
        <f>F48</f>
        <v>1088.3319999999999</v>
      </c>
      <c r="E63" s="2">
        <f>F49</f>
        <v>1956.665</v>
      </c>
      <c r="F63" s="2">
        <f>SUM(C63:E63)</f>
        <v>4014.9949999999999</v>
      </c>
      <c r="G63" s="2">
        <f>AVERAGE(C63:E63)</f>
        <v>1338.3316666666667</v>
      </c>
      <c r="H63" s="12"/>
      <c r="I63"/>
    </row>
    <row r="64" spans="2:11" x14ac:dyDescent="0.25">
      <c r="B64" s="26" t="s">
        <v>32</v>
      </c>
      <c r="C64" s="2">
        <f>SUM(C61:C63)</f>
        <v>3253.3269999999998</v>
      </c>
      <c r="D64" s="2">
        <f>SUM(D61:D63)</f>
        <v>2822.71</v>
      </c>
      <c r="E64" s="2">
        <f>SUM(E61:E63)</f>
        <v>5411.107</v>
      </c>
      <c r="F64" s="2">
        <f>SUM(C64:E64)</f>
        <v>11487.144</v>
      </c>
      <c r="G64" s="23"/>
      <c r="H64" s="12"/>
      <c r="I64"/>
    </row>
    <row r="65" spans="2:9" x14ac:dyDescent="0.25">
      <c r="B65" s="26" t="s">
        <v>33</v>
      </c>
      <c r="C65" s="2">
        <f>AVERAGE(C61:C63)</f>
        <v>1084.4423333333332</v>
      </c>
      <c r="D65" s="2">
        <f>AVERAGE(D61:D63)</f>
        <v>940.90333333333331</v>
      </c>
      <c r="E65" s="2">
        <f>AVERAGE(E61:E63)</f>
        <v>1803.7023333333334</v>
      </c>
      <c r="F65" s="23"/>
      <c r="G65" s="23"/>
      <c r="H65" s="12"/>
      <c r="I65"/>
    </row>
    <row r="66" spans="2:9" x14ac:dyDescent="0.25">
      <c r="B66"/>
      <c r="C66"/>
      <c r="D66"/>
      <c r="E66"/>
      <c r="F66"/>
      <c r="G66"/>
      <c r="H66"/>
      <c r="I66"/>
    </row>
    <row r="67" spans="2:9" x14ac:dyDescent="0.25">
      <c r="B67"/>
      <c r="C67"/>
      <c r="D67"/>
      <c r="E67"/>
      <c r="F67"/>
      <c r="G67"/>
      <c r="H67"/>
      <c r="I67"/>
    </row>
    <row r="68" spans="2:9" x14ac:dyDescent="0.25">
      <c r="B68" s="11" t="s">
        <v>79</v>
      </c>
      <c r="C68">
        <f>(((F61^2)+(F62^2)+(F63^2))/9)-C53</f>
        <v>8559.7607548888773</v>
      </c>
      <c r="D68"/>
      <c r="E68"/>
      <c r="F68"/>
      <c r="G68"/>
      <c r="H68"/>
      <c r="I68"/>
    </row>
    <row r="69" spans="2:9" x14ac:dyDescent="0.25">
      <c r="B69" s="11" t="s">
        <v>80</v>
      </c>
      <c r="C69">
        <f>(((C64^2)+(D64^2)+(E64^2))/9)-C53</f>
        <v>427453.50217399932</v>
      </c>
      <c r="D69"/>
      <c r="E69"/>
      <c r="F69"/>
      <c r="G69"/>
      <c r="H69"/>
      <c r="I69"/>
    </row>
    <row r="70" spans="2:9" x14ac:dyDescent="0.25">
      <c r="B70" s="11" t="s">
        <v>81</v>
      </c>
      <c r="C70">
        <f>C56-C68-C69</f>
        <v>94875.09395311214</v>
      </c>
      <c r="D70"/>
      <c r="E70"/>
      <c r="F70"/>
      <c r="G70"/>
      <c r="H70"/>
      <c r="I70"/>
    </row>
    <row r="71" spans="2:9" x14ac:dyDescent="0.25">
      <c r="B71"/>
      <c r="C71"/>
      <c r="D71"/>
      <c r="E71"/>
      <c r="F71"/>
      <c r="G71"/>
      <c r="H71"/>
      <c r="I71"/>
    </row>
    <row r="72" spans="2:9" x14ac:dyDescent="0.25">
      <c r="B72" s="13" t="s">
        <v>34</v>
      </c>
      <c r="C72" s="14"/>
      <c r="D72" s="15" t="s">
        <v>35</v>
      </c>
      <c r="E72" s="15" t="s">
        <v>36</v>
      </c>
      <c r="F72" s="15" t="s">
        <v>37</v>
      </c>
      <c r="G72" s="15" t="s">
        <v>38</v>
      </c>
      <c r="H72" s="15"/>
      <c r="I72" s="16"/>
    </row>
    <row r="73" spans="2:9" x14ac:dyDescent="0.25">
      <c r="B73" s="36" t="s">
        <v>39</v>
      </c>
      <c r="C73" s="39" t="s">
        <v>40</v>
      </c>
      <c r="D73" s="39" t="s">
        <v>41</v>
      </c>
      <c r="E73" s="39" t="s">
        <v>42</v>
      </c>
      <c r="F73" s="39" t="s">
        <v>43</v>
      </c>
      <c r="G73" s="36" t="s">
        <v>44</v>
      </c>
      <c r="H73" s="38" t="s">
        <v>45</v>
      </c>
      <c r="I73" s="39" t="s">
        <v>46</v>
      </c>
    </row>
    <row r="74" spans="2:9" x14ac:dyDescent="0.25">
      <c r="B74" s="37"/>
      <c r="C74" s="40"/>
      <c r="D74" s="40"/>
      <c r="E74" s="40"/>
      <c r="F74" s="40"/>
      <c r="G74" s="37"/>
      <c r="H74" s="38"/>
      <c r="I74" s="40"/>
    </row>
    <row r="75" spans="2:9" x14ac:dyDescent="0.25">
      <c r="B75" s="17" t="s">
        <v>47</v>
      </c>
      <c r="C75" s="17">
        <f>3-1</f>
        <v>2</v>
      </c>
      <c r="D75" s="18">
        <f>C55</f>
        <v>22883.2104962226</v>
      </c>
      <c r="E75" s="18">
        <f t="shared" ref="E75:E81" si="3">D75/C75</f>
        <v>11441.6052481113</v>
      </c>
      <c r="F75" s="18">
        <f>E75/E80</f>
        <v>0.32239113620148391</v>
      </c>
      <c r="G75" s="18">
        <f>FINV(0.05,C75,C80)</f>
        <v>3.6337234675916301</v>
      </c>
      <c r="H75" s="18">
        <f>FINV(0.01,C75,C80)</f>
        <v>6.2262352803113821</v>
      </c>
      <c r="I75" s="17" t="str">
        <f>IF(F75&lt;G75,"tn",IF(F75&lt;H75,"*","**"))</f>
        <v>tn</v>
      </c>
    </row>
    <row r="76" spans="2:9" x14ac:dyDescent="0.25">
      <c r="B76" s="17" t="s">
        <v>48</v>
      </c>
      <c r="C76" s="17">
        <f>9-1</f>
        <v>8</v>
      </c>
      <c r="D76" s="18">
        <f>C56</f>
        <v>530888.35688200034</v>
      </c>
      <c r="E76" s="18">
        <f t="shared" si="3"/>
        <v>66361.044610250043</v>
      </c>
      <c r="F76" s="18">
        <f>E76/E80</f>
        <v>1.8698610996868188</v>
      </c>
      <c r="G76" s="18">
        <f>FINV(0.05,C76,C80)</f>
        <v>2.5910961798744014</v>
      </c>
      <c r="H76" s="18">
        <f>FINV(0.01,C76,C80)</f>
        <v>3.8895721399261927</v>
      </c>
      <c r="I76" s="17" t="str">
        <f>IF(F76&lt;G76,"tn",IF(F76&lt;H76,"*","**"))</f>
        <v>tn</v>
      </c>
    </row>
    <row r="77" spans="2:9" x14ac:dyDescent="0.25">
      <c r="B77" s="17" t="s">
        <v>77</v>
      </c>
      <c r="C77" s="17">
        <v>2</v>
      </c>
      <c r="D77" s="18">
        <f>C68</f>
        <v>8559.7607548888773</v>
      </c>
      <c r="E77" s="18">
        <f t="shared" si="3"/>
        <v>4279.8803774444386</v>
      </c>
      <c r="F77" s="18">
        <f>E77/E80</f>
        <v>0.12059457285668157</v>
      </c>
      <c r="G77" s="18">
        <f>FINV(0.05,C77,C80)</f>
        <v>3.6337234675916301</v>
      </c>
      <c r="H77" s="18">
        <f>FINV(0.01,C77,C80)</f>
        <v>6.2262352803113821</v>
      </c>
      <c r="I77" s="17" t="str">
        <f>IF(F77&lt;G77,"tn",IF(F77&lt;H77,"*","**"))</f>
        <v>tn</v>
      </c>
    </row>
    <row r="78" spans="2:9" x14ac:dyDescent="0.25">
      <c r="B78" s="17" t="s">
        <v>76</v>
      </c>
      <c r="C78" s="17">
        <v>2</v>
      </c>
      <c r="D78" s="18">
        <f>C69</f>
        <v>427453.50217399932</v>
      </c>
      <c r="E78" s="18">
        <f t="shared" si="3"/>
        <v>213726.75108699966</v>
      </c>
      <c r="F78" s="18">
        <f>E78/E80</f>
        <v>6.0221978145036674</v>
      </c>
      <c r="G78" s="18">
        <f>FINV(0.05,C78,C80)</f>
        <v>3.6337234675916301</v>
      </c>
      <c r="H78" s="18">
        <f>FINV(0.01,C78,C80)</f>
        <v>6.2262352803113821</v>
      </c>
      <c r="I78" s="17" t="str">
        <f>IF(F78&lt;G78,"tn",IF(F78&lt;H78,"*","**"))</f>
        <v>*</v>
      </c>
    </row>
    <row r="79" spans="2:9" x14ac:dyDescent="0.25">
      <c r="B79" s="17" t="s">
        <v>78</v>
      </c>
      <c r="C79" s="17">
        <f>C77*C78</f>
        <v>4</v>
      </c>
      <c r="D79" s="18">
        <f>C70</f>
        <v>94875.09395311214</v>
      </c>
      <c r="E79" s="18">
        <f t="shared" si="3"/>
        <v>23718.773488278035</v>
      </c>
      <c r="F79" s="18">
        <f>E79/E80</f>
        <v>0.66832600569346312</v>
      </c>
      <c r="G79" s="18">
        <f>FINV(0.05,C79,C80)</f>
        <v>3.0069172799243447</v>
      </c>
      <c r="H79" s="18">
        <f>FINV(0.01,C79,C80)</f>
        <v>4.772577999723211</v>
      </c>
      <c r="I79" s="17" t="str">
        <f>IF(F79&lt;G79,"tn",IF(F79&lt;H79,"*","**"))</f>
        <v>tn</v>
      </c>
    </row>
    <row r="80" spans="2:9" x14ac:dyDescent="0.25">
      <c r="B80" s="17" t="s">
        <v>49</v>
      </c>
      <c r="C80" s="17">
        <f>(3-1)*(9-1)</f>
        <v>16</v>
      </c>
      <c r="D80" s="18">
        <f>C57</f>
        <v>567837.21204844397</v>
      </c>
      <c r="E80" s="18">
        <f t="shared" si="3"/>
        <v>35489.825753027748</v>
      </c>
      <c r="F80" s="30"/>
      <c r="G80" s="30"/>
      <c r="H80" s="30"/>
      <c r="I80" s="31"/>
    </row>
    <row r="81" spans="1:9" x14ac:dyDescent="0.25">
      <c r="B81" s="17" t="s">
        <v>50</v>
      </c>
      <c r="C81" s="17">
        <f>C75+C76+C80</f>
        <v>26</v>
      </c>
      <c r="D81" s="18">
        <f>C54</f>
        <v>1121608.7794266669</v>
      </c>
      <c r="E81" s="18">
        <f t="shared" si="3"/>
        <v>43138.799208717959</v>
      </c>
      <c r="F81" s="30"/>
      <c r="G81" s="30"/>
      <c r="H81" s="30"/>
      <c r="I81" s="31"/>
    </row>
    <row r="83" spans="1:9" x14ac:dyDescent="0.25">
      <c r="B83" s="13" t="s">
        <v>51</v>
      </c>
      <c r="C83"/>
      <c r="D83"/>
      <c r="E83"/>
      <c r="F83"/>
      <c r="G83"/>
      <c r="H83"/>
      <c r="I83"/>
    </row>
    <row r="84" spans="1:9" x14ac:dyDescent="0.25">
      <c r="B84" s="14" t="s">
        <v>52</v>
      </c>
      <c r="C84">
        <f>5.03*(SQRT(E80/3))</f>
        <v>547.09064830695718</v>
      </c>
      <c r="D84"/>
      <c r="E84"/>
      <c r="F84" t="s">
        <v>53</v>
      </c>
      <c r="G84"/>
      <c r="H84"/>
      <c r="I84"/>
    </row>
    <row r="85" spans="1:9" x14ac:dyDescent="0.25">
      <c r="B85" s="19"/>
      <c r="C85"/>
      <c r="D85" s="20"/>
      <c r="E85"/>
      <c r="F85"/>
      <c r="G85"/>
      <c r="H85"/>
      <c r="I85"/>
    </row>
    <row r="86" spans="1:9" x14ac:dyDescent="0.25">
      <c r="B86"/>
      <c r="C86"/>
      <c r="D86"/>
      <c r="E86"/>
      <c r="F86"/>
      <c r="G86"/>
      <c r="H86"/>
      <c r="I86"/>
    </row>
    <row r="87" spans="1:9" x14ac:dyDescent="0.25">
      <c r="A87" s="1" t="s">
        <v>69</v>
      </c>
      <c r="B87" s="1">
        <v>940.9</v>
      </c>
      <c r="C87" s="1" t="s">
        <v>54</v>
      </c>
      <c r="D87" s="35">
        <f>B87+C84</f>
        <v>1487.9906483069572</v>
      </c>
      <c r="E87" s="35"/>
    </row>
    <row r="88" spans="1:9" x14ac:dyDescent="0.25">
      <c r="A88" s="1" t="s">
        <v>68</v>
      </c>
      <c r="B88" s="35">
        <v>1084.44</v>
      </c>
      <c r="C88" s="1" t="s">
        <v>55</v>
      </c>
      <c r="D88" s="35">
        <f>B88+C84</f>
        <v>1631.5306483069571</v>
      </c>
      <c r="E88" s="35">
        <f>B88-C84</f>
        <v>537.34935169304288</v>
      </c>
    </row>
    <row r="89" spans="1:9" x14ac:dyDescent="0.25">
      <c r="A89" s="1" t="s">
        <v>70</v>
      </c>
      <c r="B89" s="1">
        <v>1803.7</v>
      </c>
      <c r="C89" s="1" t="s">
        <v>55</v>
      </c>
    </row>
    <row r="91" spans="1:9" x14ac:dyDescent="0.25">
      <c r="B91" s="13" t="s">
        <v>51</v>
      </c>
      <c r="C91"/>
    </row>
    <row r="92" spans="1:9" x14ac:dyDescent="0.25">
      <c r="B92" s="14" t="s">
        <v>52</v>
      </c>
      <c r="C92">
        <f>5.03*(SQRT(E88/3))</f>
        <v>67.318700255452811</v>
      </c>
    </row>
  </sheetData>
  <mergeCells count="9">
    <mergeCell ref="F73:F74"/>
    <mergeCell ref="G73:G74"/>
    <mergeCell ref="H73:H74"/>
    <mergeCell ref="I73:I74"/>
    <mergeCell ref="B2:C2"/>
    <mergeCell ref="B73:B74"/>
    <mergeCell ref="C73:C74"/>
    <mergeCell ref="D73:D74"/>
    <mergeCell ref="E73:E7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Uji Gula Total</vt:lpstr>
      <vt:lpstr>Uji Antioksidan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TRIBUDI</dc:creator>
  <cp:lastModifiedBy>Wahyudi</cp:lastModifiedBy>
  <dcterms:created xsi:type="dcterms:W3CDTF">2024-10-18T02:54:58Z</dcterms:created>
  <dcterms:modified xsi:type="dcterms:W3CDTF">2025-06-22T02:50:52Z</dcterms:modified>
</cp:coreProperties>
</file>